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2chavez\Downloads\"/>
    </mc:Choice>
  </mc:AlternateContent>
  <xr:revisionPtr revIDLastSave="0" documentId="13_ncr:1_{787B809F-55BF-46D6-9F52-26703751EA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ey1 Locations, Areas, Lots" sheetId="1" r:id="rId1"/>
    <sheet name="University-wide" sheetId="2" r:id="rId2"/>
    <sheet name="By Location" sheetId="3" r:id="rId3"/>
    <sheet name="By Area" sheetId="4" r:id="rId4"/>
    <sheet name="By Neighborhood" sheetId="5" r:id="rId5"/>
    <sheet name="By Lot - SIO" sheetId="6" r:id="rId6"/>
    <sheet name="By Lot - West Campus" sheetId="7" r:id="rId7"/>
    <sheet name="By Lot - East Campus" sheetId="8" r:id="rId8"/>
    <sheet name="By Lot - Hillcrest" sheetId="9" r:id="rId9"/>
    <sheet name="By Structure" sheetId="10" r:id="rId10"/>
    <sheet name="South Structure" sheetId="11" state="hidden" r:id="rId11"/>
    <sheet name="Closed" sheetId="12" state="hidden" r:id="rId12"/>
    <sheet name="Visitor" sheetId="13" r:id="rId13"/>
    <sheet name="Allocated" sheetId="14" r:id="rId14"/>
    <sheet name="Schedule" sheetId="15" r:id="rId15"/>
  </sheets>
  <definedNames>
    <definedName name="_xlnm._FilterDatabase" localSheetId="7" hidden="1">'By Lot - East Campus'!$C$7:$R$603</definedName>
    <definedName name="_xlnm._FilterDatabase" localSheetId="8" hidden="1">'By Lot - Hillcrest'!$C$7:$R$628</definedName>
    <definedName name="_xlnm._FilterDatabase" localSheetId="5" hidden="1">'By Lot - SIO'!$C$7:$R$315</definedName>
    <definedName name="_xlnm._FilterDatabase" localSheetId="6" hidden="1">'By Lot - West Campus'!$C$7:$R$1851</definedName>
    <definedName name="AthemaStructure">'By Structure'!$C$112</definedName>
    <definedName name="AthenaV1" localSheetId="7">#REF!</definedName>
    <definedName name="AthenaV1" localSheetId="8">#REF!</definedName>
    <definedName name="AthenaV1" localSheetId="5">#REF!</definedName>
    <definedName name="AthenaV1">'By Lot - East Campus'!$E$233:$E$234</definedName>
    <definedName name="AthenaVisitor1">#REF!</definedName>
    <definedName name="CPEallocated">'By Structure'!$C$90</definedName>
    <definedName name="CPEstructure_allocated">'By Structure'!$C$90</definedName>
    <definedName name="CPWallocated" localSheetId="7">#REF!</definedName>
    <definedName name="CPWallocated" localSheetId="8">#REF!</definedName>
    <definedName name="CPWallocated" localSheetId="5">#REF!</definedName>
    <definedName name="CPWallocated">'By Lot - East Campus'!$E$185:$E$190</definedName>
    <definedName name="CPWstructure_allocated">'By Structure'!$C$101</definedName>
    <definedName name="CPWV1" localSheetId="7">#REF!</definedName>
    <definedName name="CPWV1" localSheetId="8">#REF!</definedName>
    <definedName name="CPWV1" localSheetId="5">#REF!</definedName>
    <definedName name="CPWV1">'By Lot - East Campus'!$E$148:$E$149</definedName>
    <definedName name="CPWV2" localSheetId="7">#REF!</definedName>
    <definedName name="CPWV2" localSheetId="8">#REF!</definedName>
    <definedName name="CPWV2" localSheetId="5">#REF!</definedName>
    <definedName name="CPWV2">'By Lot - East Campus'!$E$165:$E$166</definedName>
    <definedName name="CPWV3" localSheetId="7">#REF!</definedName>
    <definedName name="CPWV3" localSheetId="8">#REF!</definedName>
    <definedName name="CPWV3" localSheetId="5">#REF!</definedName>
    <definedName name="CPWV3">'By Lot - East Campus'!$E$182:$E$183</definedName>
    <definedName name="CPWV4" localSheetId="7">#REF!</definedName>
    <definedName name="CPWV4" localSheetId="8">#REF!</definedName>
    <definedName name="CPWV4" localSheetId="5">#REF!</definedName>
    <definedName name="CPWV4">'By Lot - East Campus'!$E$199:$E$200</definedName>
    <definedName name="CPWV5" localSheetId="7">#REF!</definedName>
    <definedName name="CPWV5" localSheetId="8">#REF!</definedName>
    <definedName name="CPWV5" localSheetId="5">#REF!</definedName>
    <definedName name="CPWV5">'By Lot - East Campus'!$E$216:$E$217</definedName>
    <definedName name="MarshallOccupancyA8amCELL" localSheetId="7">#REF!</definedName>
    <definedName name="MarshallOccupancyA8amCELL" localSheetId="8">#REF!</definedName>
    <definedName name="MarshallOccupancyA8amCELL" localSheetId="5">#REF!</definedName>
    <definedName name="p113a">'By Lot - West Campus'!$E$180</definedName>
    <definedName name="p113ada">'By Lot - West Campus'!$E$192</definedName>
    <definedName name="p113allocated">'By Lot - West Campus'!$E$186:$E$191</definedName>
    <definedName name="p113b">'By Lot - West Campus'!$E$181</definedName>
    <definedName name="p113Load">'By Lot - West Campus'!$E$195</definedName>
    <definedName name="p113r">'By Lot - West Campus'!$E$185</definedName>
    <definedName name="p113S">'By Lot - West Campus'!$E$182</definedName>
    <definedName name="p113sy">'By Lot - West Campus'!$E$194</definedName>
    <definedName name="p113total">'By Lot - West Campus'!$E$196</definedName>
    <definedName name="p113uc">'By Lot - West Campus'!$E$193</definedName>
    <definedName name="p113v">'By Lot - West Campus'!$E$183:$E$184</definedName>
    <definedName name="p114a">'By Lot - West Campus'!$E$197</definedName>
    <definedName name="p114ada">'By Lot - West Campus'!$E$209</definedName>
    <definedName name="p114allocated">'By Lot - West Campus'!$E$203:$E$208</definedName>
    <definedName name="p114b">'By Lot - West Campus'!$E$198</definedName>
    <definedName name="p114Load">'By Lot - West Campus'!$E$212</definedName>
    <definedName name="p114r">'By Lot - West Campus'!$E$202</definedName>
    <definedName name="p114s">'By Lot - West Campus'!$E$199</definedName>
    <definedName name="p114sy">'By Lot - West Campus'!$E$211</definedName>
    <definedName name="p114total">'By Lot - West Campus'!$E$213</definedName>
    <definedName name="p114uc">'By Lot - West Campus'!$E$210</definedName>
    <definedName name="p114v">'By Lot - West Campus'!$E$200:$E$201</definedName>
    <definedName name="p201a">'By Lot - West Campus'!$E$231</definedName>
    <definedName name="p201ada">'By Lot - West Campus'!$E$243</definedName>
    <definedName name="p201allocated">'By Lot - West Campus'!$E$237:$E$242</definedName>
    <definedName name="p201b">'By Lot - West Campus'!$E$232</definedName>
    <definedName name="p201Loading">'By Lot - West Campus'!$E$246</definedName>
    <definedName name="p201r">'By Lot - West Campus'!$E$236</definedName>
    <definedName name="p201s">'By Lot - West Campus'!$E$233</definedName>
    <definedName name="p201sy">'By Lot - West Campus'!$E$245</definedName>
    <definedName name="p201uc">'By Lot - West Campus'!$E$244</definedName>
    <definedName name="p201v">'By Lot - West Campus'!$E$234:$E$235</definedName>
    <definedName name="P202A">'By Lot - West Campus'!$E$248</definedName>
    <definedName name="P202ada">'By Lot - West Campus'!$E$260</definedName>
    <definedName name="P202Allocated">'By Lot - West Campus'!$E$254:$E$259</definedName>
    <definedName name="P202B">'By Lot - West Campus'!$E$249</definedName>
    <definedName name="P202Loading">'By Lot - West Campus'!$E$263</definedName>
    <definedName name="P202Reserved">'By Lot - West Campus'!$E$253</definedName>
    <definedName name="P202S">'By Lot - West Campus'!$E$250</definedName>
    <definedName name="P202Service_Yard">'By Lot - West Campus'!$E$262</definedName>
    <definedName name="P202Total">'By Lot - West Campus'!$E$264</definedName>
    <definedName name="P202UC_Vehicle">'By Lot - West Campus'!$E$261</definedName>
    <definedName name="P202Visitor">'By Lot - West Campus'!$E$251:$E$252</definedName>
    <definedName name="P203A">'By Lot - West Campus'!$E$265</definedName>
    <definedName name="P203Accessible">'By Lot - West Campus'!$E$277</definedName>
    <definedName name="P203Allocated">'By Lot - West Campus'!$E$271:$E$276</definedName>
    <definedName name="P203B">'By Lot - West Campus'!$E$266</definedName>
    <definedName name="P203Loading">'By Lot - West Campus'!$E$280</definedName>
    <definedName name="P203Reserved">'By Lot - West Campus'!$E$270</definedName>
    <definedName name="P203S">'By Lot - West Campus'!$E$267</definedName>
    <definedName name="P203Service_Yard">'By Lot - West Campus'!$E$279</definedName>
    <definedName name="P203Total">'By Lot - West Campus'!$E$281</definedName>
    <definedName name="P203UC_Vehicle">'By Lot - West Campus'!$E$278</definedName>
    <definedName name="P203V" localSheetId="7">#REF!</definedName>
    <definedName name="P203V" localSheetId="8">#REF!</definedName>
    <definedName name="P203V" localSheetId="5">#REF!</definedName>
    <definedName name="P203V">'By Lot - West Campus'!$E$268:$E$269</definedName>
    <definedName name="P204A">'By Lot - West Campus'!$E$282</definedName>
    <definedName name="P204Accessible">'By Lot - West Campus'!$E$294</definedName>
    <definedName name="P204Allocated">'By Lot - West Campus'!$E$288:$E$293</definedName>
    <definedName name="P204B" localSheetId="7">#REF!</definedName>
    <definedName name="P204B">'By Lot - West Campus'!$E$283</definedName>
    <definedName name="P204Loading">'By Lot - West Campus'!$E$297</definedName>
    <definedName name="P204Reserved">'By Lot - West Campus'!$E$287</definedName>
    <definedName name="P204S">'By Lot - West Campus'!$E$284</definedName>
    <definedName name="P204Service_Yard" localSheetId="7">#REF!</definedName>
    <definedName name="P204Service_Yard" localSheetId="8">#REF!</definedName>
    <definedName name="P204Service_Yard" localSheetId="5">#REF!</definedName>
    <definedName name="P204Service_Yard">'By Lot - West Campus'!$E$296</definedName>
    <definedName name="P204Total" localSheetId="7">#REF!</definedName>
    <definedName name="P204Total" localSheetId="8">#REF!</definedName>
    <definedName name="P204Total" localSheetId="5">#REF!</definedName>
    <definedName name="P204Total">'By Lot - West Campus'!$E$298</definedName>
    <definedName name="P204UC_Vehicle" localSheetId="7">#REF!</definedName>
    <definedName name="P204UC_Vehicle" localSheetId="8">#REF!</definedName>
    <definedName name="P204UC_Vehicle" localSheetId="5">#REF!</definedName>
    <definedName name="P204UC_Vehicle">'By Lot - West Campus'!$E$295</definedName>
    <definedName name="P204Visitor" localSheetId="7">#REF!</definedName>
    <definedName name="P204Visitor" localSheetId="8">#REF!</definedName>
    <definedName name="P204Visitor" localSheetId="5">#REF!</definedName>
    <definedName name="P204Visitor">'By Lot - West Campus'!$E$285:$E$286</definedName>
    <definedName name="P205A" localSheetId="7">#REF!</definedName>
    <definedName name="P205A" localSheetId="8">#REF!</definedName>
    <definedName name="P205A" localSheetId="5">#REF!</definedName>
    <definedName name="P205A">'By Lot - West Campus'!$E$299</definedName>
    <definedName name="P205Accessible" localSheetId="7">#REF!</definedName>
    <definedName name="P205Accessible" localSheetId="8">#REF!</definedName>
    <definedName name="P205Accessible" localSheetId="5">#REF!</definedName>
    <definedName name="P205Accessible">'By Lot - West Campus'!$E$311</definedName>
    <definedName name="P205Allocated" localSheetId="7">#REF!</definedName>
    <definedName name="P205Allocated" localSheetId="8">#REF!</definedName>
    <definedName name="P205Allocated" localSheetId="5">#REF!</definedName>
    <definedName name="P205Allocated">'By Lot - West Campus'!$E$305:$E$310</definedName>
    <definedName name="P205B" localSheetId="7">#REF!</definedName>
    <definedName name="P205B" localSheetId="8">#REF!</definedName>
    <definedName name="P205B" localSheetId="5">#REF!</definedName>
    <definedName name="P205B">'By Lot - West Campus'!$E$300</definedName>
    <definedName name="P205Loading" localSheetId="7">#REF!</definedName>
    <definedName name="P205Loading" localSheetId="8">#REF!</definedName>
    <definedName name="P205Loading" localSheetId="5">#REF!</definedName>
    <definedName name="P205Loading">'By Lot - West Campus'!$E$314</definedName>
    <definedName name="P205Reserved" localSheetId="7">#REF!</definedName>
    <definedName name="P205Reserved" localSheetId="8">#REF!</definedName>
    <definedName name="P205Reserved" localSheetId="5">#REF!</definedName>
    <definedName name="P205Reserved">'By Lot - West Campus'!$E$304</definedName>
    <definedName name="P205S" localSheetId="7">#REF!</definedName>
    <definedName name="P205S" localSheetId="8">#REF!</definedName>
    <definedName name="P205S" localSheetId="5">#REF!</definedName>
    <definedName name="P205S">'By Lot - West Campus'!$E$301</definedName>
    <definedName name="P205Service_Yard" localSheetId="7">#REF!</definedName>
    <definedName name="P205Service_Yard" localSheetId="8">#REF!</definedName>
    <definedName name="P205Service_Yard" localSheetId="5">#REF!</definedName>
    <definedName name="P205Service_Yard">'By Lot - West Campus'!$E$313</definedName>
    <definedName name="P205Total" localSheetId="7">#REF!</definedName>
    <definedName name="P205Total" localSheetId="8">#REF!</definedName>
    <definedName name="P205Total" localSheetId="5">#REF!</definedName>
    <definedName name="P205Total">'By Lot - West Campus'!$E$315</definedName>
    <definedName name="P205UC_Vehicle" localSheetId="7">#REF!</definedName>
    <definedName name="P205UC_Vehicle" localSheetId="8">#REF!</definedName>
    <definedName name="P205UC_Vehicle" localSheetId="5">#REF!</definedName>
    <definedName name="P205UC_Vehicle">'By Lot - West Campus'!$E$312</definedName>
    <definedName name="P205Visitor" localSheetId="7">#REF!</definedName>
    <definedName name="P205Visitor" localSheetId="8">#REF!</definedName>
    <definedName name="P205Visitor" localSheetId="5">#REF!</definedName>
    <definedName name="P205Visitor">'By Lot - West Campus'!$E$302:$E$303</definedName>
    <definedName name="P206a_regular" localSheetId="7">#REF!</definedName>
    <definedName name="P206a_regular" localSheetId="8">#REF!</definedName>
    <definedName name="P206a_regular" localSheetId="5">#REF!</definedName>
    <definedName name="P206a_regular">'By Lot - West Campus'!$E$316</definedName>
    <definedName name="P206Accessible" localSheetId="7">#REF!</definedName>
    <definedName name="P206Accessible" localSheetId="8">#REF!</definedName>
    <definedName name="P206Accessible" localSheetId="5">#REF!</definedName>
    <definedName name="P206Accessible">'By Lot - West Campus'!$E$328</definedName>
    <definedName name="p206allocated" localSheetId="7">#REF!</definedName>
    <definedName name="p206allocated" localSheetId="8">#REF!</definedName>
    <definedName name="p206allocated" localSheetId="5">#REF!</definedName>
    <definedName name="p206allocated">'By Lot - West Campus'!$E$322:$E$327</definedName>
    <definedName name="P206B" localSheetId="7">#REF!</definedName>
    <definedName name="P206B" localSheetId="8">#REF!</definedName>
    <definedName name="P206B" localSheetId="5">#REF!</definedName>
    <definedName name="P206B">'By Lot - West Campus'!$E$317</definedName>
    <definedName name="P206Loading" localSheetId="7">#REF!</definedName>
    <definedName name="P206Loading" localSheetId="8">#REF!</definedName>
    <definedName name="P206Loading" localSheetId="5">#REF!</definedName>
    <definedName name="P206Loading">'By Lot - West Campus'!$E$331</definedName>
    <definedName name="P206Reserved" localSheetId="7">#REF!</definedName>
    <definedName name="P206Reserved" localSheetId="8">#REF!</definedName>
    <definedName name="P206Reserved" localSheetId="5">#REF!</definedName>
    <definedName name="P206Reserved">'By Lot - West Campus'!$E$321</definedName>
    <definedName name="P206S" localSheetId="7">#REF!</definedName>
    <definedName name="P206S" localSheetId="8">#REF!</definedName>
    <definedName name="P206S" localSheetId="5">#REF!</definedName>
    <definedName name="P206S">'By Lot - West Campus'!$E$318</definedName>
    <definedName name="P206Service_Yard" localSheetId="7">#REF!</definedName>
    <definedName name="P206Service_Yard" localSheetId="8">#REF!</definedName>
    <definedName name="P206Service_Yard" localSheetId="5">#REF!</definedName>
    <definedName name="P206Service_Yard">'By Lot - West Campus'!$E$330</definedName>
    <definedName name="P206Total" localSheetId="7">#REF!</definedName>
    <definedName name="P206Total" localSheetId="8">#REF!</definedName>
    <definedName name="P206Total" localSheetId="5">#REF!</definedName>
    <definedName name="P206Total">'By Lot - West Campus'!$E$332</definedName>
    <definedName name="P206UC_Vehicle" localSheetId="7">#REF!</definedName>
    <definedName name="P206UC_Vehicle" localSheetId="8">#REF!</definedName>
    <definedName name="P206UC_Vehicle" localSheetId="5">#REF!</definedName>
    <definedName name="P206UC_Vehicle">'By Lot - West Campus'!$E$329</definedName>
    <definedName name="p206visitor" localSheetId="7">#REF!</definedName>
    <definedName name="p206visitor" localSheetId="8">#REF!</definedName>
    <definedName name="p206visitor" localSheetId="5">#REF!</definedName>
    <definedName name="p206visitor">'By Lot - West Campus'!$E$319:$E$320</definedName>
    <definedName name="P302A" localSheetId="7">#REF!</definedName>
    <definedName name="P302A" localSheetId="8">#REF!</definedName>
    <definedName name="P302A" localSheetId="5">#REF!</definedName>
    <definedName name="P302A">'By Lot - West Campus'!$E$384</definedName>
    <definedName name="P302Accessible" localSheetId="7">#REF!</definedName>
    <definedName name="P302Accessible" localSheetId="8">#REF!</definedName>
    <definedName name="P302Accessible" localSheetId="5">#REF!</definedName>
    <definedName name="P302Accessible">'By Lot - West Campus'!$E$396</definedName>
    <definedName name="P302Allocated" localSheetId="7">#REF!</definedName>
    <definedName name="P302Allocated" localSheetId="8">#REF!</definedName>
    <definedName name="P302Allocated" localSheetId="5">#REF!</definedName>
    <definedName name="P302Allocated">'By Lot - West Campus'!$E$390:$E$395</definedName>
    <definedName name="P302B">'By Lot - West Campus'!$E$385</definedName>
    <definedName name="P302Loading">'By Lot - West Campus'!$E$399</definedName>
    <definedName name="P302Reserved">'By Lot - West Campus'!$E$389</definedName>
    <definedName name="P302S">'By Lot - West Campus'!$E$386</definedName>
    <definedName name="P302Service_Yard">'By Lot - West Campus'!$E$398</definedName>
    <definedName name="P302Total">'By Lot - West Campus'!$E$400</definedName>
    <definedName name="P302UC_Vehicle">'By Lot - West Campus'!$E$397</definedName>
    <definedName name="P302Visitor">'By Lot - West Campus'!$E$387:$E$388</definedName>
    <definedName name="P303A">'By Lot - West Campus'!$E$401</definedName>
    <definedName name="P303Accessible">'By Lot - West Campus'!$E$413</definedName>
    <definedName name="P303Allocated">'By Lot - West Campus'!$E$407:$E$412</definedName>
    <definedName name="P303B">'By Lot - West Campus'!$E$402</definedName>
    <definedName name="P303Loading">'By Lot - West Campus'!$E$416</definedName>
    <definedName name="P303Reserved">'By Lot - West Campus'!$E$406</definedName>
    <definedName name="P303S">'By Lot - West Campus'!$E$403</definedName>
    <definedName name="P303Service_Yard">'By Lot - West Campus'!$E$415</definedName>
    <definedName name="P303Total">'By Lot - West Campus'!$E$417</definedName>
    <definedName name="P303UC_Vehicle">'By Lot - West Campus'!$E$414</definedName>
    <definedName name="P303Visitor">'By Lot - West Campus'!$E$404:$E$405</definedName>
    <definedName name="P304A">'By Lot - West Campus'!$E$418</definedName>
    <definedName name="P304Accessible">'By Lot - West Campus'!$E$430</definedName>
    <definedName name="P304Allocated">'By Lot - West Campus'!$E$424:$E$429</definedName>
    <definedName name="P304B">'By Lot - West Campus'!$E$419</definedName>
    <definedName name="P304Loading">'By Lot - West Campus'!$E$433</definedName>
    <definedName name="P304Reserved">'By Lot - West Campus'!$E$423</definedName>
    <definedName name="P304S">'By Lot - West Campus'!$E$420</definedName>
    <definedName name="P304Service_Yard">'By Lot - West Campus'!$E$432</definedName>
    <definedName name="P304Total">'By Lot - West Campus'!$E$434</definedName>
    <definedName name="P304UC_Vehicle">'By Lot - West Campus'!$E$431</definedName>
    <definedName name="P304Visitor">'By Lot - West Campus'!$E$421:$E$422</definedName>
    <definedName name="P306A">'By Lot - West Campus'!$E$435</definedName>
    <definedName name="P306Accessible">'By Lot - West Campus'!$E$447</definedName>
    <definedName name="P306Allocated">'By Lot - West Campus'!$E$441:$E$446</definedName>
    <definedName name="P306B">'By Lot - West Campus'!$E$436</definedName>
    <definedName name="P306Loading">'By Lot - West Campus'!$E$450</definedName>
    <definedName name="P306Reserved">'By Lot - West Campus'!$E$440</definedName>
    <definedName name="P306S">'By Lot - West Campus'!$E$437</definedName>
    <definedName name="P306Service_Yard">'By Lot - West Campus'!$E$449</definedName>
    <definedName name="P306Total">'By Lot - West Campus'!$E$451</definedName>
    <definedName name="P306UC_Vehicle">'By Lot - West Campus'!$E$448</definedName>
    <definedName name="P306Visitor">'By Lot - West Campus'!$E$438:$E$439</definedName>
    <definedName name="P308A">'By Lot - West Campus'!$E$452</definedName>
    <definedName name="P308Accessible">'By Lot - West Campus'!$E$464</definedName>
    <definedName name="P308Allocated">'By Lot - West Campus'!$E$458:$E$463</definedName>
    <definedName name="P308B">'By Lot - West Campus'!$E$453</definedName>
    <definedName name="P308Loading">'By Lot - West Campus'!$E$467</definedName>
    <definedName name="P308Reserved">'By Lot - West Campus'!$E$457</definedName>
    <definedName name="P308S">'By Lot - West Campus'!$E$454</definedName>
    <definedName name="P308Service_Yard">'By Lot - West Campus'!$E$466</definedName>
    <definedName name="P308Total">'By Lot - West Campus'!$E$468</definedName>
    <definedName name="P308UC_Vehicle">'By Lot - West Campus'!$E$465</definedName>
    <definedName name="P308Visitor">'By Lot - West Campus'!$E$455:$E$456</definedName>
    <definedName name="P309A">'By Lot - West Campus'!$E$469</definedName>
    <definedName name="P309Accessible">'By Lot - West Campus'!$E$481</definedName>
    <definedName name="P309Allocated">'By Lot - West Campus'!$E$475:$E$480</definedName>
    <definedName name="P309B">'By Lot - West Campus'!$E$470</definedName>
    <definedName name="P309Loading">'By Lot - West Campus'!$E$484</definedName>
    <definedName name="P309Reserved">'By Lot - West Campus'!$E$474</definedName>
    <definedName name="P309S">'By Lot - West Campus'!$E$471</definedName>
    <definedName name="P309Service_Yard">'By Lot - West Campus'!$E$483</definedName>
    <definedName name="P309Total">'By Lot - West Campus'!$E$485</definedName>
    <definedName name="P309UC_Vehicle">'By Lot - West Campus'!$E$482</definedName>
    <definedName name="P309Visitor">'By Lot - West Campus'!$E$472:$E$473</definedName>
    <definedName name="P310A">'By Lot - West Campus'!$E$486</definedName>
    <definedName name="P310Accessible">'By Lot - West Campus'!$E$498</definedName>
    <definedName name="P310Allocated">'By Lot - West Campus'!$E$492:$E$497</definedName>
    <definedName name="P310B">'By Lot - West Campus'!$E$487</definedName>
    <definedName name="P310Loading">'By Lot - West Campus'!$E$501</definedName>
    <definedName name="P310Reserved">'By Lot - West Campus'!$E$491</definedName>
    <definedName name="P310S">'By Lot - West Campus'!$E$488</definedName>
    <definedName name="P310Service_Yard">'By Lot - West Campus'!$E$500</definedName>
    <definedName name="P310Total">'By Lot - West Campus'!$E$502</definedName>
    <definedName name="P310UC_Vehicle">'By Lot - West Campus'!$E$499</definedName>
    <definedName name="P310Visitor">'By Lot - West Campus'!$E$489:$E$490</definedName>
    <definedName name="P414A">'By Lot - West Campus'!$E$1252</definedName>
    <definedName name="P414Accessible">'By Lot - West Campus'!$E$1264</definedName>
    <definedName name="P414Allocated">'By Lot - West Campus'!$E$1258:$E$1263</definedName>
    <definedName name="P414B">'By Lot - West Campus'!$E$1253</definedName>
    <definedName name="P414Loading">'By Lot - West Campus'!$E$1267</definedName>
    <definedName name="P414Reserved">'By Lot - West Campus'!$E$1257</definedName>
    <definedName name="P414S">'By Lot - West Campus'!$E$1254</definedName>
    <definedName name="P414Service_Yard">'By Lot - West Campus'!$E$1266</definedName>
    <definedName name="P414Total">'By Lot - West Campus'!$E$1268</definedName>
    <definedName name="P414UC_Vehicle">'By Lot - West Campus'!$E$1265</definedName>
    <definedName name="P414Visitor">'By Lot - West Campus'!$E$1255:$E$1256</definedName>
    <definedName name="_xlnm.Print_Area" localSheetId="3">'By Area'!$A$1:$P$57</definedName>
    <definedName name="_xlnm.Print_Area" localSheetId="2">'By Location'!$A$1:$P$31</definedName>
    <definedName name="_xlnm.Print_Area" localSheetId="7">'By Lot - East Campus'!$A$1:$R$602</definedName>
    <definedName name="_xlnm.Print_Area" localSheetId="8">'By Lot - Hillcrest'!$A$1:$R$628</definedName>
    <definedName name="_xlnm.Print_Area" localSheetId="5">'By Lot - SIO'!$A$1:$R$315</definedName>
    <definedName name="_xlnm.Print_Area" localSheetId="6">'By Lot - West Campus'!$A$1:$R$1851</definedName>
    <definedName name="_xlnm.Print_Area" localSheetId="4">'By Neighborhood'!$A$1:$P$233</definedName>
    <definedName name="_xlnm.Print_Titles" localSheetId="13">Allocated!$1:$3</definedName>
    <definedName name="_xlnm.Print_Titles" localSheetId="3">'By Area'!$1:$6</definedName>
    <definedName name="_xlnm.Print_Titles" localSheetId="7">'By Lot - East Campus'!$1:$6</definedName>
    <definedName name="_xlnm.Print_Titles" localSheetId="8">'By Lot - Hillcrest'!$1:$6</definedName>
    <definedName name="_xlnm.Print_Titles" localSheetId="5">'By Lot - SIO'!$1:$6</definedName>
    <definedName name="_xlnm.Print_Titles" localSheetId="6">'By Lot - West Campus'!$1:$6</definedName>
    <definedName name="_xlnm.Print_Titles" localSheetId="4">'By Neighborhood'!$1:$6</definedName>
    <definedName name="_xlnm.Print_Titles" localSheetId="9">'By Structure'!$1:$3</definedName>
    <definedName name="_xlnm.Print_Titles" localSheetId="10">'South Structure'!$1:$3</definedName>
    <definedName name="ScholarsB3A">'By Lot - West Campus'!$E$333</definedName>
    <definedName name="ScholarsB3ada">'By Lot - West Campus'!$E$345</definedName>
    <definedName name="ScholarsB3allocated">'By Lot - West Campus'!$E$339:$E$344</definedName>
    <definedName name="ScholarsB3B">'By Lot - West Campus'!$E$334</definedName>
    <definedName name="ScholarsB3Loading">'By Lot - West Campus'!$E$348</definedName>
    <definedName name="ScholarsB3reserved">'By Lot - West Campus'!$E$338</definedName>
    <definedName name="ScholarsB3S">'By Lot - West Campus'!$E$335</definedName>
    <definedName name="ScholarsB3sy">'By Lot - West Campus'!$E$347</definedName>
    <definedName name="ScholarsB3total">'By Lot - West Campus'!$E$349</definedName>
    <definedName name="ScholarsB3uc">'By Lot - West Campus'!$E$346</definedName>
    <definedName name="ScholarsB3visitor">'By Lot - West Campus'!$E$336:$E$337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hHxJzkJF0RgWLWrQ37Nxtb6JhLKA=="/>
    </ext>
  </extLst>
</workbook>
</file>

<file path=xl/calcChain.xml><?xml version="1.0" encoding="utf-8"?>
<calcChain xmlns="http://schemas.openxmlformats.org/spreadsheetml/2006/main">
  <c r="B1" i="15" l="1"/>
  <c r="B1" i="14"/>
  <c r="A1" i="13"/>
  <c r="L18" i="12"/>
  <c r="K18" i="12"/>
  <c r="J18" i="12"/>
  <c r="I18" i="12"/>
  <c r="H18" i="12"/>
  <c r="G18" i="12"/>
  <c r="F18" i="12"/>
  <c r="E18" i="12"/>
  <c r="D18" i="12"/>
  <c r="C18" i="12"/>
  <c r="A1" i="12"/>
  <c r="G104" i="11"/>
  <c r="M103" i="11"/>
  <c r="L103" i="11"/>
  <c r="K103" i="11"/>
  <c r="J103" i="11"/>
  <c r="I103" i="11"/>
  <c r="H103" i="11"/>
  <c r="G103" i="11"/>
  <c r="F103" i="11"/>
  <c r="E103" i="11"/>
  <c r="D103" i="11"/>
  <c r="C103" i="11"/>
  <c r="M102" i="11"/>
  <c r="L102" i="11"/>
  <c r="K102" i="11"/>
  <c r="J102" i="11"/>
  <c r="I102" i="11"/>
  <c r="H102" i="11"/>
  <c r="G102" i="11"/>
  <c r="F102" i="11"/>
  <c r="E102" i="11"/>
  <c r="D102" i="11"/>
  <c r="C102" i="11"/>
  <c r="M101" i="11"/>
  <c r="L101" i="11"/>
  <c r="K101" i="11"/>
  <c r="K14" i="11" s="1"/>
  <c r="J101" i="11"/>
  <c r="I101" i="11"/>
  <c r="H101" i="11"/>
  <c r="G101" i="11"/>
  <c r="F101" i="11"/>
  <c r="N101" i="11" s="1"/>
  <c r="E101" i="11"/>
  <c r="D101" i="11"/>
  <c r="C101" i="11"/>
  <c r="M100" i="11"/>
  <c r="L100" i="11"/>
  <c r="K100" i="11"/>
  <c r="J100" i="11"/>
  <c r="I100" i="11"/>
  <c r="I13" i="11" s="1"/>
  <c r="H100" i="11"/>
  <c r="G100" i="11"/>
  <c r="F100" i="11"/>
  <c r="E100" i="11"/>
  <c r="D100" i="11"/>
  <c r="C100" i="11"/>
  <c r="M99" i="11"/>
  <c r="L99" i="11"/>
  <c r="K99" i="11"/>
  <c r="J99" i="11"/>
  <c r="I99" i="11"/>
  <c r="H99" i="11"/>
  <c r="G99" i="11"/>
  <c r="F99" i="11"/>
  <c r="E99" i="11"/>
  <c r="D99" i="11"/>
  <c r="C99" i="11"/>
  <c r="M98" i="11"/>
  <c r="L98" i="11"/>
  <c r="K98" i="11"/>
  <c r="J98" i="11"/>
  <c r="I98" i="11"/>
  <c r="H98" i="11"/>
  <c r="G98" i="11"/>
  <c r="F98" i="11"/>
  <c r="E98" i="11"/>
  <c r="D98" i="11"/>
  <c r="C98" i="11"/>
  <c r="M97" i="11"/>
  <c r="L97" i="11"/>
  <c r="K97" i="11"/>
  <c r="J97" i="11"/>
  <c r="I97" i="11"/>
  <c r="H97" i="11"/>
  <c r="G97" i="11"/>
  <c r="F97" i="11"/>
  <c r="E97" i="11"/>
  <c r="D97" i="11"/>
  <c r="C97" i="11"/>
  <c r="M96" i="11"/>
  <c r="L96" i="11"/>
  <c r="K96" i="11"/>
  <c r="J96" i="11"/>
  <c r="I96" i="11"/>
  <c r="H96" i="11"/>
  <c r="G96" i="11"/>
  <c r="F96" i="11"/>
  <c r="E96" i="11"/>
  <c r="D96" i="11"/>
  <c r="C96" i="11"/>
  <c r="M95" i="11"/>
  <c r="L95" i="11"/>
  <c r="K95" i="11"/>
  <c r="J95" i="11"/>
  <c r="I95" i="11"/>
  <c r="H95" i="11"/>
  <c r="G95" i="11"/>
  <c r="F95" i="11"/>
  <c r="E95" i="11"/>
  <c r="D95" i="11"/>
  <c r="C95" i="11"/>
  <c r="M94" i="11"/>
  <c r="L94" i="11"/>
  <c r="K94" i="11"/>
  <c r="J94" i="11"/>
  <c r="I94" i="11"/>
  <c r="H94" i="11"/>
  <c r="G94" i="11"/>
  <c r="F94" i="11"/>
  <c r="F12" i="11" s="1"/>
  <c r="E94" i="11"/>
  <c r="D94" i="11"/>
  <c r="C94" i="11"/>
  <c r="M93" i="11"/>
  <c r="L93" i="11"/>
  <c r="K93" i="11"/>
  <c r="J93" i="11"/>
  <c r="I93" i="11"/>
  <c r="H93" i="11"/>
  <c r="G93" i="11"/>
  <c r="F93" i="11"/>
  <c r="E93" i="11"/>
  <c r="D93" i="11"/>
  <c r="C93" i="11"/>
  <c r="M92" i="11"/>
  <c r="L92" i="11"/>
  <c r="K92" i="11"/>
  <c r="J92" i="11"/>
  <c r="I92" i="11"/>
  <c r="H92" i="11"/>
  <c r="G92" i="11"/>
  <c r="F92" i="11"/>
  <c r="E92" i="11"/>
  <c r="D92" i="11"/>
  <c r="C92" i="11"/>
  <c r="M91" i="11"/>
  <c r="L91" i="11"/>
  <c r="K91" i="11"/>
  <c r="J91" i="11"/>
  <c r="I91" i="11"/>
  <c r="H91" i="11"/>
  <c r="G91" i="11"/>
  <c r="F91" i="11"/>
  <c r="E91" i="11"/>
  <c r="D91" i="11"/>
  <c r="C91" i="11"/>
  <c r="M90" i="11"/>
  <c r="L90" i="11"/>
  <c r="K90" i="11"/>
  <c r="J90" i="11"/>
  <c r="I90" i="11"/>
  <c r="H90" i="11"/>
  <c r="G90" i="11"/>
  <c r="F90" i="11"/>
  <c r="E90" i="11"/>
  <c r="D90" i="11"/>
  <c r="C90" i="11"/>
  <c r="M89" i="11"/>
  <c r="L89" i="11"/>
  <c r="K89" i="11"/>
  <c r="J89" i="11"/>
  <c r="I89" i="11"/>
  <c r="H89" i="11"/>
  <c r="G89" i="11"/>
  <c r="F89" i="11"/>
  <c r="E89" i="11"/>
  <c r="D89" i="11"/>
  <c r="N89" i="11" s="1"/>
  <c r="C89" i="11"/>
  <c r="O89" i="11" s="1"/>
  <c r="P89" i="11" s="1"/>
  <c r="M88" i="11"/>
  <c r="M104" i="11" s="1"/>
  <c r="L88" i="11"/>
  <c r="K88" i="11"/>
  <c r="K104" i="11" s="1"/>
  <c r="J88" i="11"/>
  <c r="I88" i="11"/>
  <c r="I104" i="11" s="1"/>
  <c r="H88" i="11"/>
  <c r="H104" i="11" s="1"/>
  <c r="G88" i="11"/>
  <c r="F88" i="11"/>
  <c r="F104" i="11" s="1"/>
  <c r="E88" i="11"/>
  <c r="E104" i="11" s="1"/>
  <c r="D88" i="11"/>
  <c r="C88" i="11"/>
  <c r="C104" i="11" s="1"/>
  <c r="M86" i="11"/>
  <c r="L86" i="11"/>
  <c r="K86" i="11"/>
  <c r="J86" i="11"/>
  <c r="I86" i="11"/>
  <c r="H86" i="11"/>
  <c r="G86" i="11"/>
  <c r="F86" i="11"/>
  <c r="E86" i="11"/>
  <c r="D86" i="11"/>
  <c r="C86" i="11"/>
  <c r="M85" i="11"/>
  <c r="L85" i="11"/>
  <c r="K85" i="11"/>
  <c r="J85" i="11"/>
  <c r="I85" i="11"/>
  <c r="H85" i="11"/>
  <c r="G85" i="11"/>
  <c r="F85" i="11"/>
  <c r="E85" i="11"/>
  <c r="D85" i="11"/>
  <c r="C85" i="11"/>
  <c r="M84" i="11"/>
  <c r="M14" i="11" s="1"/>
  <c r="L84" i="11"/>
  <c r="K84" i="11"/>
  <c r="J84" i="11"/>
  <c r="I84" i="11"/>
  <c r="H84" i="11"/>
  <c r="G84" i="11"/>
  <c r="F84" i="11"/>
  <c r="E84" i="11"/>
  <c r="D84" i="11"/>
  <c r="C84" i="11"/>
  <c r="M83" i="11"/>
  <c r="L83" i="11"/>
  <c r="K83" i="11"/>
  <c r="K13" i="11" s="1"/>
  <c r="J83" i="11"/>
  <c r="I83" i="11"/>
  <c r="H83" i="11"/>
  <c r="G83" i="11"/>
  <c r="F83" i="11"/>
  <c r="E83" i="11"/>
  <c r="D83" i="11"/>
  <c r="C83" i="11"/>
  <c r="M82" i="11"/>
  <c r="L82" i="11"/>
  <c r="K82" i="11"/>
  <c r="J82" i="11"/>
  <c r="I82" i="11"/>
  <c r="H82" i="11"/>
  <c r="G82" i="11"/>
  <c r="F82" i="11"/>
  <c r="E82" i="11"/>
  <c r="D82" i="11"/>
  <c r="C82" i="11"/>
  <c r="M81" i="11"/>
  <c r="L81" i="11"/>
  <c r="K81" i="11"/>
  <c r="J81" i="11"/>
  <c r="I81" i="11"/>
  <c r="H81" i="11"/>
  <c r="G81" i="11"/>
  <c r="F81" i="11"/>
  <c r="E81" i="11"/>
  <c r="D81" i="11"/>
  <c r="C81" i="11"/>
  <c r="M80" i="11"/>
  <c r="L80" i="11"/>
  <c r="K80" i="11"/>
  <c r="J80" i="11"/>
  <c r="I80" i="11"/>
  <c r="H80" i="11"/>
  <c r="G80" i="11"/>
  <c r="F80" i="11"/>
  <c r="E80" i="11"/>
  <c r="D80" i="11"/>
  <c r="C80" i="11"/>
  <c r="M79" i="11"/>
  <c r="L79" i="11"/>
  <c r="K79" i="11"/>
  <c r="J79" i="11"/>
  <c r="I79" i="11"/>
  <c r="H79" i="11"/>
  <c r="G79" i="11"/>
  <c r="F79" i="11"/>
  <c r="E79" i="11"/>
  <c r="D79" i="11"/>
  <c r="C79" i="11"/>
  <c r="M78" i="11"/>
  <c r="L78" i="11"/>
  <c r="K78" i="11"/>
  <c r="J78" i="11"/>
  <c r="I78" i="11"/>
  <c r="H78" i="11"/>
  <c r="G78" i="11"/>
  <c r="F78" i="11"/>
  <c r="E78" i="11"/>
  <c r="D78" i="11"/>
  <c r="C78" i="11"/>
  <c r="M77" i="11"/>
  <c r="L77" i="11"/>
  <c r="K77" i="11"/>
  <c r="J77" i="11"/>
  <c r="I77" i="11"/>
  <c r="H77" i="11"/>
  <c r="G77" i="11"/>
  <c r="F77" i="11"/>
  <c r="E77" i="11"/>
  <c r="D77" i="11"/>
  <c r="C77" i="11"/>
  <c r="M76" i="11"/>
  <c r="L76" i="11"/>
  <c r="K76" i="11"/>
  <c r="J76" i="11"/>
  <c r="I76" i="11"/>
  <c r="H76" i="11"/>
  <c r="G76" i="11"/>
  <c r="F76" i="11"/>
  <c r="E76" i="11"/>
  <c r="D76" i="11"/>
  <c r="C76" i="11"/>
  <c r="M75" i="11"/>
  <c r="L75" i="11"/>
  <c r="K75" i="11"/>
  <c r="J75" i="11"/>
  <c r="I75" i="11"/>
  <c r="H75" i="11"/>
  <c r="G75" i="11"/>
  <c r="F75" i="11"/>
  <c r="E75" i="11"/>
  <c r="D75" i="11"/>
  <c r="C75" i="11"/>
  <c r="M74" i="11"/>
  <c r="L74" i="11"/>
  <c r="K74" i="11"/>
  <c r="J74" i="11"/>
  <c r="I74" i="11"/>
  <c r="I87" i="11" s="1"/>
  <c r="H74" i="11"/>
  <c r="G74" i="11"/>
  <c r="F74" i="11"/>
  <c r="E74" i="11"/>
  <c r="D74" i="11"/>
  <c r="C74" i="11"/>
  <c r="M73" i="11"/>
  <c r="L73" i="11"/>
  <c r="K73" i="11"/>
  <c r="J73" i="11"/>
  <c r="I73" i="11"/>
  <c r="H73" i="11"/>
  <c r="G73" i="11"/>
  <c r="F73" i="11"/>
  <c r="E73" i="11"/>
  <c r="D73" i="11"/>
  <c r="C73" i="11"/>
  <c r="M72" i="11"/>
  <c r="L72" i="11"/>
  <c r="K72" i="11"/>
  <c r="J72" i="11"/>
  <c r="J8" i="11" s="1"/>
  <c r="I72" i="11"/>
  <c r="H72" i="11"/>
  <c r="G72" i="11"/>
  <c r="F72" i="11"/>
  <c r="N72" i="11" s="1"/>
  <c r="O72" i="11" s="1"/>
  <c r="P72" i="11" s="1"/>
  <c r="E72" i="11"/>
  <c r="D72" i="11"/>
  <c r="C72" i="11"/>
  <c r="M71" i="11"/>
  <c r="M87" i="11" s="1"/>
  <c r="L71" i="11"/>
  <c r="K71" i="11"/>
  <c r="J71" i="11"/>
  <c r="I71" i="11"/>
  <c r="H71" i="11"/>
  <c r="G71" i="11"/>
  <c r="F71" i="11"/>
  <c r="E71" i="11"/>
  <c r="E87" i="11" s="1"/>
  <c r="D71" i="11"/>
  <c r="C71" i="11"/>
  <c r="F70" i="11"/>
  <c r="M69" i="11"/>
  <c r="L69" i="11"/>
  <c r="K69" i="11"/>
  <c r="J69" i="11"/>
  <c r="I69" i="11"/>
  <c r="H69" i="11"/>
  <c r="G69" i="11"/>
  <c r="F69" i="11"/>
  <c r="E69" i="11"/>
  <c r="D69" i="11"/>
  <c r="C69" i="11"/>
  <c r="M68" i="11"/>
  <c r="L68" i="11"/>
  <c r="K68" i="11"/>
  <c r="J68" i="11"/>
  <c r="I68" i="11"/>
  <c r="H68" i="11"/>
  <c r="G68" i="11"/>
  <c r="F68" i="11"/>
  <c r="E68" i="11"/>
  <c r="D68" i="11"/>
  <c r="C68" i="11"/>
  <c r="M67" i="11"/>
  <c r="L67" i="11"/>
  <c r="K67" i="11"/>
  <c r="J67" i="11"/>
  <c r="I67" i="11"/>
  <c r="H67" i="11"/>
  <c r="G67" i="11"/>
  <c r="F67" i="11"/>
  <c r="N67" i="11" s="1"/>
  <c r="O67" i="11" s="1"/>
  <c r="P67" i="11" s="1"/>
  <c r="E67" i="11"/>
  <c r="D67" i="11"/>
  <c r="C67" i="11"/>
  <c r="M66" i="11"/>
  <c r="L66" i="11"/>
  <c r="K66" i="11"/>
  <c r="J66" i="11"/>
  <c r="I66" i="11"/>
  <c r="H66" i="11"/>
  <c r="G66" i="11"/>
  <c r="F66" i="11"/>
  <c r="E66" i="11"/>
  <c r="D66" i="11"/>
  <c r="C66" i="11"/>
  <c r="M65" i="11"/>
  <c r="L65" i="11"/>
  <c r="K65" i="11"/>
  <c r="J65" i="11"/>
  <c r="I65" i="11"/>
  <c r="H65" i="11"/>
  <c r="G65" i="11"/>
  <c r="F65" i="11"/>
  <c r="E65" i="11"/>
  <c r="D65" i="11"/>
  <c r="C65" i="11"/>
  <c r="M64" i="11"/>
  <c r="L64" i="11"/>
  <c r="K64" i="11"/>
  <c r="J64" i="11"/>
  <c r="I64" i="11"/>
  <c r="H64" i="11"/>
  <c r="G64" i="11"/>
  <c r="F64" i="11"/>
  <c r="E64" i="11"/>
  <c r="D64" i="11"/>
  <c r="C64" i="11"/>
  <c r="M63" i="11"/>
  <c r="L63" i="11"/>
  <c r="K63" i="11"/>
  <c r="J63" i="11"/>
  <c r="I63" i="11"/>
  <c r="H63" i="11"/>
  <c r="G63" i="11"/>
  <c r="F63" i="11"/>
  <c r="E63" i="11"/>
  <c r="D63" i="11"/>
  <c r="C63" i="11"/>
  <c r="M62" i="11"/>
  <c r="L62" i="11"/>
  <c r="L12" i="11" s="1"/>
  <c r="K62" i="11"/>
  <c r="J62" i="11"/>
  <c r="I62" i="11"/>
  <c r="H62" i="11"/>
  <c r="G62" i="11"/>
  <c r="F62" i="11"/>
  <c r="E62" i="11"/>
  <c r="D62" i="11"/>
  <c r="D12" i="11" s="1"/>
  <c r="C62" i="11"/>
  <c r="M61" i="11"/>
  <c r="L61" i="11"/>
  <c r="K61" i="11"/>
  <c r="J61" i="11"/>
  <c r="I61" i="11"/>
  <c r="H61" i="11"/>
  <c r="G61" i="11"/>
  <c r="F61" i="11"/>
  <c r="E61" i="11"/>
  <c r="D61" i="11"/>
  <c r="C61" i="11"/>
  <c r="M60" i="11"/>
  <c r="L60" i="11"/>
  <c r="K60" i="11"/>
  <c r="J60" i="11"/>
  <c r="I60" i="11"/>
  <c r="H60" i="11"/>
  <c r="G60" i="11"/>
  <c r="F60" i="11"/>
  <c r="N60" i="11" s="1"/>
  <c r="E60" i="11"/>
  <c r="D60" i="11"/>
  <c r="C60" i="11"/>
  <c r="M59" i="11"/>
  <c r="L59" i="11"/>
  <c r="K59" i="11"/>
  <c r="K11" i="11" s="1"/>
  <c r="J59" i="11"/>
  <c r="I59" i="11"/>
  <c r="H59" i="11"/>
  <c r="G59" i="11"/>
  <c r="F59" i="11"/>
  <c r="E59" i="11"/>
  <c r="D59" i="11"/>
  <c r="C59" i="11"/>
  <c r="C11" i="11" s="1"/>
  <c r="M58" i="11"/>
  <c r="L58" i="11"/>
  <c r="K58" i="11"/>
  <c r="J58" i="11"/>
  <c r="I58" i="11"/>
  <c r="H58" i="11"/>
  <c r="G58" i="11"/>
  <c r="F58" i="11"/>
  <c r="E58" i="11"/>
  <c r="D58" i="11"/>
  <c r="C58" i="11"/>
  <c r="M57" i="11"/>
  <c r="L57" i="11"/>
  <c r="K57" i="11"/>
  <c r="J57" i="11"/>
  <c r="I57" i="11"/>
  <c r="H57" i="11"/>
  <c r="G57" i="11"/>
  <c r="F57" i="11"/>
  <c r="E57" i="11"/>
  <c r="D57" i="11"/>
  <c r="C57" i="11"/>
  <c r="M56" i="11"/>
  <c r="L56" i="11"/>
  <c r="K56" i="11"/>
  <c r="J56" i="11"/>
  <c r="I56" i="11"/>
  <c r="H56" i="11"/>
  <c r="G56" i="11"/>
  <c r="F56" i="11"/>
  <c r="E56" i="11"/>
  <c r="D56" i="11"/>
  <c r="C56" i="11"/>
  <c r="M55" i="11"/>
  <c r="M8" i="11" s="1"/>
  <c r="L55" i="11"/>
  <c r="K55" i="11"/>
  <c r="J55" i="11"/>
  <c r="I55" i="11"/>
  <c r="H55" i="11"/>
  <c r="G55" i="11"/>
  <c r="F55" i="11"/>
  <c r="E55" i="11"/>
  <c r="D55" i="11"/>
  <c r="M54" i="11"/>
  <c r="L54" i="11"/>
  <c r="K54" i="11"/>
  <c r="K70" i="11" s="1"/>
  <c r="J54" i="11"/>
  <c r="I54" i="11"/>
  <c r="H54" i="11"/>
  <c r="G54" i="11"/>
  <c r="G70" i="11" s="1"/>
  <c r="F54" i="11"/>
  <c r="E54" i="11"/>
  <c r="D54" i="11"/>
  <c r="C54" i="11"/>
  <c r="M52" i="11"/>
  <c r="L52" i="11"/>
  <c r="K52" i="11"/>
  <c r="J52" i="11"/>
  <c r="I52" i="11"/>
  <c r="H52" i="11"/>
  <c r="G52" i="11"/>
  <c r="F52" i="11"/>
  <c r="E52" i="11"/>
  <c r="D52" i="11"/>
  <c r="C52" i="11"/>
  <c r="M51" i="11"/>
  <c r="L51" i="11"/>
  <c r="K51" i="11"/>
  <c r="J51" i="11"/>
  <c r="I51" i="11"/>
  <c r="H51" i="11"/>
  <c r="G51" i="11"/>
  <c r="F51" i="11"/>
  <c r="E51" i="11"/>
  <c r="D51" i="11"/>
  <c r="C51" i="11"/>
  <c r="M50" i="11"/>
  <c r="L50" i="11"/>
  <c r="K50" i="11"/>
  <c r="J50" i="11"/>
  <c r="I50" i="11"/>
  <c r="H50" i="11"/>
  <c r="G50" i="11"/>
  <c r="F50" i="11"/>
  <c r="E50" i="11"/>
  <c r="D50" i="11"/>
  <c r="C50" i="11"/>
  <c r="M49" i="11"/>
  <c r="L49" i="11"/>
  <c r="K49" i="11"/>
  <c r="J49" i="11"/>
  <c r="I49" i="11"/>
  <c r="H49" i="11"/>
  <c r="G49" i="11"/>
  <c r="F49" i="11"/>
  <c r="N49" i="11" s="1"/>
  <c r="E49" i="11"/>
  <c r="D49" i="11"/>
  <c r="C49" i="11"/>
  <c r="M48" i="11"/>
  <c r="L48" i="11"/>
  <c r="K48" i="11"/>
  <c r="J48" i="11"/>
  <c r="I48" i="11"/>
  <c r="H48" i="11"/>
  <c r="G48" i="11"/>
  <c r="F48" i="11"/>
  <c r="E48" i="11"/>
  <c r="D48" i="11"/>
  <c r="C48" i="11"/>
  <c r="M47" i="11"/>
  <c r="L47" i="11"/>
  <c r="K47" i="11"/>
  <c r="J47" i="11"/>
  <c r="I47" i="11"/>
  <c r="H47" i="11"/>
  <c r="G47" i="11"/>
  <c r="F47" i="11"/>
  <c r="E47" i="11"/>
  <c r="D47" i="11"/>
  <c r="C47" i="11"/>
  <c r="M46" i="11"/>
  <c r="L46" i="11"/>
  <c r="K46" i="11"/>
  <c r="J46" i="11"/>
  <c r="I46" i="11"/>
  <c r="H46" i="11"/>
  <c r="G46" i="11"/>
  <c r="F46" i="11"/>
  <c r="E46" i="11"/>
  <c r="D46" i="11"/>
  <c r="C46" i="11"/>
  <c r="M45" i="11"/>
  <c r="L45" i="11"/>
  <c r="K45" i="11"/>
  <c r="J45" i="11"/>
  <c r="I45" i="11"/>
  <c r="H45" i="11"/>
  <c r="G45" i="11"/>
  <c r="F45" i="11"/>
  <c r="E45" i="11"/>
  <c r="D45" i="11"/>
  <c r="C45" i="11"/>
  <c r="M44" i="11"/>
  <c r="L44" i="11"/>
  <c r="K44" i="11"/>
  <c r="J44" i="11"/>
  <c r="I44" i="11"/>
  <c r="H44" i="11"/>
  <c r="G44" i="11"/>
  <c r="F44" i="11"/>
  <c r="E44" i="11"/>
  <c r="D44" i="11"/>
  <c r="C44" i="11"/>
  <c r="M43" i="11"/>
  <c r="L43" i="11"/>
  <c r="K43" i="11"/>
  <c r="J43" i="11"/>
  <c r="I43" i="11"/>
  <c r="H43" i="11"/>
  <c r="H12" i="11" s="1"/>
  <c r="G43" i="11"/>
  <c r="F43" i="11"/>
  <c r="E43" i="11"/>
  <c r="D43" i="11"/>
  <c r="C43" i="11"/>
  <c r="M42" i="11"/>
  <c r="L42" i="11"/>
  <c r="K42" i="11"/>
  <c r="J42" i="11"/>
  <c r="I42" i="11"/>
  <c r="H42" i="11"/>
  <c r="G42" i="11"/>
  <c r="F42" i="11"/>
  <c r="E42" i="11"/>
  <c r="D42" i="11"/>
  <c r="C42" i="11"/>
  <c r="M41" i="11"/>
  <c r="L41" i="11"/>
  <c r="K41" i="11"/>
  <c r="J41" i="11"/>
  <c r="I41" i="11"/>
  <c r="H41" i="11"/>
  <c r="G41" i="11"/>
  <c r="F41" i="11"/>
  <c r="F53" i="11" s="1"/>
  <c r="E41" i="11"/>
  <c r="D41" i="11"/>
  <c r="C41" i="11"/>
  <c r="M40" i="11"/>
  <c r="L40" i="11"/>
  <c r="K40" i="11"/>
  <c r="J40" i="11"/>
  <c r="I40" i="11"/>
  <c r="H40" i="11"/>
  <c r="G40" i="11"/>
  <c r="F40" i="11"/>
  <c r="E40" i="11"/>
  <c r="D40" i="11"/>
  <c r="C40" i="11"/>
  <c r="M39" i="11"/>
  <c r="L39" i="11"/>
  <c r="K39" i="11"/>
  <c r="J39" i="11"/>
  <c r="I39" i="11"/>
  <c r="H39" i="11"/>
  <c r="G39" i="11"/>
  <c r="G9" i="11" s="1"/>
  <c r="F39" i="11"/>
  <c r="E39" i="11"/>
  <c r="N39" i="11" s="1"/>
  <c r="O39" i="11" s="1"/>
  <c r="P39" i="11" s="1"/>
  <c r="D39" i="11"/>
  <c r="C39" i="11"/>
  <c r="M38" i="11"/>
  <c r="L38" i="11"/>
  <c r="K38" i="11"/>
  <c r="J38" i="11"/>
  <c r="I38" i="11"/>
  <c r="H38" i="11"/>
  <c r="G38" i="11"/>
  <c r="F38" i="11"/>
  <c r="E38" i="11"/>
  <c r="D38" i="11"/>
  <c r="C38" i="11"/>
  <c r="M37" i="11"/>
  <c r="M53" i="11" s="1"/>
  <c r="L37" i="11"/>
  <c r="L53" i="11" s="1"/>
  <c r="K37" i="11"/>
  <c r="K53" i="11" s="1"/>
  <c r="J37" i="11"/>
  <c r="I37" i="11"/>
  <c r="H37" i="11"/>
  <c r="G37" i="11"/>
  <c r="F37" i="11"/>
  <c r="E37" i="11"/>
  <c r="E53" i="11" s="1"/>
  <c r="D37" i="11"/>
  <c r="D53" i="11" s="1"/>
  <c r="C37" i="11"/>
  <c r="C53" i="11" s="1"/>
  <c r="M35" i="11"/>
  <c r="L35" i="11"/>
  <c r="K35" i="11"/>
  <c r="J35" i="11"/>
  <c r="I35" i="11"/>
  <c r="H35" i="11"/>
  <c r="G35" i="11"/>
  <c r="F35" i="11"/>
  <c r="E35" i="11"/>
  <c r="D35" i="11"/>
  <c r="C35" i="11"/>
  <c r="M34" i="11"/>
  <c r="L34" i="11"/>
  <c r="L15" i="11" s="1"/>
  <c r="K34" i="11"/>
  <c r="J34" i="11"/>
  <c r="I34" i="11"/>
  <c r="H34" i="11"/>
  <c r="G34" i="11"/>
  <c r="F34" i="11"/>
  <c r="E34" i="11"/>
  <c r="D34" i="11"/>
  <c r="C34" i="11"/>
  <c r="M33" i="11"/>
  <c r="L33" i="11"/>
  <c r="K33" i="11"/>
  <c r="J33" i="11"/>
  <c r="I33" i="11"/>
  <c r="H33" i="11"/>
  <c r="G33" i="11"/>
  <c r="F33" i="11"/>
  <c r="N33" i="11" s="1"/>
  <c r="E33" i="11"/>
  <c r="D33" i="11"/>
  <c r="C33" i="11"/>
  <c r="M32" i="11"/>
  <c r="L32" i="11"/>
  <c r="K32" i="11"/>
  <c r="J32" i="11"/>
  <c r="I32" i="11"/>
  <c r="H32" i="11"/>
  <c r="H13" i="11" s="1"/>
  <c r="G32" i="11"/>
  <c r="F32" i="11"/>
  <c r="E32" i="11"/>
  <c r="D32" i="11"/>
  <c r="C32" i="11"/>
  <c r="M31" i="11"/>
  <c r="L31" i="11"/>
  <c r="K31" i="11"/>
  <c r="J31" i="11"/>
  <c r="I31" i="11"/>
  <c r="H31" i="11"/>
  <c r="G31" i="11"/>
  <c r="F31" i="11"/>
  <c r="E31" i="11"/>
  <c r="D31" i="11"/>
  <c r="C31" i="11"/>
  <c r="C36" i="11" s="1"/>
  <c r="M30" i="11"/>
  <c r="L30" i="11"/>
  <c r="K30" i="11"/>
  <c r="J30" i="11"/>
  <c r="I30" i="11"/>
  <c r="H30" i="11"/>
  <c r="G30" i="11"/>
  <c r="F30" i="11"/>
  <c r="E30" i="11"/>
  <c r="D30" i="11"/>
  <c r="C30" i="11"/>
  <c r="M29" i="11"/>
  <c r="L29" i="11"/>
  <c r="K29" i="11"/>
  <c r="J29" i="11"/>
  <c r="I29" i="11"/>
  <c r="H29" i="11"/>
  <c r="G29" i="11"/>
  <c r="F29" i="11"/>
  <c r="E29" i="11"/>
  <c r="D29" i="11"/>
  <c r="C29" i="11"/>
  <c r="M28" i="11"/>
  <c r="L28" i="11"/>
  <c r="K28" i="11"/>
  <c r="J28" i="11"/>
  <c r="I28" i="11"/>
  <c r="H28" i="11"/>
  <c r="G28" i="11"/>
  <c r="F28" i="11"/>
  <c r="E28" i="11"/>
  <c r="D28" i="11"/>
  <c r="C28" i="11"/>
  <c r="M27" i="11"/>
  <c r="L27" i="11"/>
  <c r="K27" i="11"/>
  <c r="J27" i="11"/>
  <c r="I27" i="11"/>
  <c r="H27" i="11"/>
  <c r="G27" i="11"/>
  <c r="F27" i="11"/>
  <c r="E27" i="11"/>
  <c r="D27" i="11"/>
  <c r="C27" i="11"/>
  <c r="M26" i="11"/>
  <c r="M12" i="11" s="1"/>
  <c r="L26" i="11"/>
  <c r="K26" i="11"/>
  <c r="J26" i="11"/>
  <c r="I26" i="11"/>
  <c r="H26" i="11"/>
  <c r="G26" i="11"/>
  <c r="F26" i="11"/>
  <c r="E26" i="11"/>
  <c r="E12" i="11" s="1"/>
  <c r="D26" i="11"/>
  <c r="N26" i="11" s="1"/>
  <c r="C26" i="11"/>
  <c r="M25" i="11"/>
  <c r="L25" i="11"/>
  <c r="K25" i="11"/>
  <c r="J25" i="11"/>
  <c r="I25" i="11"/>
  <c r="H25" i="11"/>
  <c r="G25" i="11"/>
  <c r="F25" i="11"/>
  <c r="E25" i="11"/>
  <c r="D25" i="11"/>
  <c r="C25" i="11"/>
  <c r="M24" i="11"/>
  <c r="L24" i="11"/>
  <c r="K24" i="11"/>
  <c r="J24" i="11"/>
  <c r="I24" i="11"/>
  <c r="H24" i="11"/>
  <c r="G24" i="11"/>
  <c r="F24" i="11"/>
  <c r="E24" i="11"/>
  <c r="D24" i="11"/>
  <c r="C24" i="11"/>
  <c r="M23" i="11"/>
  <c r="L23" i="11"/>
  <c r="K23" i="11"/>
  <c r="J23" i="11"/>
  <c r="I23" i="11"/>
  <c r="H23" i="11"/>
  <c r="G23" i="11"/>
  <c r="F23" i="11"/>
  <c r="E23" i="11"/>
  <c r="D23" i="11"/>
  <c r="C23" i="11"/>
  <c r="M22" i="11"/>
  <c r="L22" i="11"/>
  <c r="L9" i="11" s="1"/>
  <c r="K22" i="11"/>
  <c r="J22" i="11"/>
  <c r="I22" i="11"/>
  <c r="H22" i="11"/>
  <c r="G22" i="11"/>
  <c r="F22" i="11"/>
  <c r="E22" i="11"/>
  <c r="D22" i="11"/>
  <c r="C22" i="11"/>
  <c r="M21" i="11"/>
  <c r="L21" i="11"/>
  <c r="K21" i="11"/>
  <c r="J21" i="11"/>
  <c r="I21" i="11"/>
  <c r="H21" i="11"/>
  <c r="G21" i="11"/>
  <c r="F21" i="11"/>
  <c r="E21" i="11"/>
  <c r="D21" i="11"/>
  <c r="C21" i="11"/>
  <c r="M20" i="11"/>
  <c r="L20" i="11"/>
  <c r="K20" i="11"/>
  <c r="J20" i="11"/>
  <c r="J36" i="11" s="1"/>
  <c r="I20" i="11"/>
  <c r="H20" i="11"/>
  <c r="G20" i="11"/>
  <c r="F20" i="11"/>
  <c r="F36" i="11" s="1"/>
  <c r="E20" i="11"/>
  <c r="D20" i="11"/>
  <c r="C20" i="11"/>
  <c r="M15" i="11"/>
  <c r="K15" i="11"/>
  <c r="J15" i="11"/>
  <c r="I15" i="11"/>
  <c r="H15" i="11"/>
  <c r="G15" i="11"/>
  <c r="F15" i="11"/>
  <c r="E15" i="11"/>
  <c r="C15" i="11"/>
  <c r="L14" i="11"/>
  <c r="I14" i="11"/>
  <c r="H14" i="11"/>
  <c r="G14" i="11"/>
  <c r="F14" i="11"/>
  <c r="D14" i="11"/>
  <c r="M13" i="11"/>
  <c r="L13" i="11"/>
  <c r="J13" i="11"/>
  <c r="G13" i="11"/>
  <c r="F13" i="11"/>
  <c r="E13" i="11"/>
  <c r="D13" i="11"/>
  <c r="K12" i="11"/>
  <c r="I12" i="11"/>
  <c r="G12" i="11"/>
  <c r="C12" i="11"/>
  <c r="N11" i="11"/>
  <c r="M11" i="11"/>
  <c r="L11" i="11"/>
  <c r="J11" i="11"/>
  <c r="I11" i="11"/>
  <c r="H11" i="11"/>
  <c r="G11" i="11"/>
  <c r="F11" i="11"/>
  <c r="E11" i="11"/>
  <c r="D11" i="11"/>
  <c r="M10" i="11"/>
  <c r="K10" i="11"/>
  <c r="J10" i="11"/>
  <c r="I10" i="11"/>
  <c r="H10" i="11"/>
  <c r="G10" i="11"/>
  <c r="F10" i="11"/>
  <c r="E10" i="11"/>
  <c r="C10" i="11"/>
  <c r="M9" i="11"/>
  <c r="K9" i="11"/>
  <c r="J9" i="11"/>
  <c r="I9" i="11"/>
  <c r="H9" i="11"/>
  <c r="F9" i="11"/>
  <c r="E9" i="11"/>
  <c r="C9" i="11"/>
  <c r="L8" i="11"/>
  <c r="K8" i="11"/>
  <c r="I8" i="11"/>
  <c r="H8" i="11"/>
  <c r="G8" i="11"/>
  <c r="F8" i="11"/>
  <c r="D8" i="11"/>
  <c r="M7" i="11"/>
  <c r="L7" i="11"/>
  <c r="K7" i="11"/>
  <c r="K17" i="11" s="1"/>
  <c r="J7" i="11"/>
  <c r="I7" i="11"/>
  <c r="I17" i="11" s="1"/>
  <c r="G7" i="11"/>
  <c r="G17" i="11" s="1"/>
  <c r="F7" i="11"/>
  <c r="E7" i="11"/>
  <c r="D7" i="11"/>
  <c r="C7" i="11"/>
  <c r="M150" i="10"/>
  <c r="E150" i="10"/>
  <c r="M146" i="10"/>
  <c r="L146" i="10"/>
  <c r="K146" i="10"/>
  <c r="J146" i="10"/>
  <c r="I146" i="10"/>
  <c r="H146" i="10"/>
  <c r="G146" i="10"/>
  <c r="F146" i="10"/>
  <c r="E146" i="10"/>
  <c r="D146" i="10"/>
  <c r="C146" i="10"/>
  <c r="M145" i="10"/>
  <c r="L145" i="10"/>
  <c r="K145" i="10"/>
  <c r="J145" i="10"/>
  <c r="I145" i="10"/>
  <c r="H145" i="10"/>
  <c r="G145" i="10"/>
  <c r="F145" i="10"/>
  <c r="E145" i="10"/>
  <c r="D145" i="10"/>
  <c r="N145" i="10" s="1"/>
  <c r="C145" i="10"/>
  <c r="O145" i="10" s="1"/>
  <c r="P145" i="10" s="1"/>
  <c r="M141" i="10"/>
  <c r="L141" i="10"/>
  <c r="L150" i="10" s="1"/>
  <c r="K141" i="10"/>
  <c r="J141" i="10"/>
  <c r="J150" i="10" s="1"/>
  <c r="I141" i="10"/>
  <c r="I150" i="10" s="1"/>
  <c r="H141" i="10"/>
  <c r="H150" i="10" s="1"/>
  <c r="G141" i="10"/>
  <c r="G150" i="10" s="1"/>
  <c r="F141" i="10"/>
  <c r="F150" i="10" s="1"/>
  <c r="E141" i="10"/>
  <c r="D141" i="10"/>
  <c r="D150" i="10" s="1"/>
  <c r="C141" i="10"/>
  <c r="M136" i="10"/>
  <c r="L136" i="10"/>
  <c r="K136" i="10"/>
  <c r="J136" i="10"/>
  <c r="I136" i="10"/>
  <c r="H136" i="10"/>
  <c r="G136" i="10"/>
  <c r="F136" i="10"/>
  <c r="E136" i="10"/>
  <c r="D136" i="10"/>
  <c r="N136" i="10" s="1"/>
  <c r="C136" i="10"/>
  <c r="M135" i="10"/>
  <c r="L135" i="10"/>
  <c r="K135" i="10"/>
  <c r="J135" i="10"/>
  <c r="I135" i="10"/>
  <c r="H135" i="10"/>
  <c r="G135" i="10"/>
  <c r="F135" i="10"/>
  <c r="E135" i="10"/>
  <c r="D135" i="10"/>
  <c r="C135" i="10"/>
  <c r="M134" i="10"/>
  <c r="L134" i="10"/>
  <c r="K134" i="10"/>
  <c r="J134" i="10"/>
  <c r="I134" i="10"/>
  <c r="H134" i="10"/>
  <c r="G134" i="10"/>
  <c r="F134" i="10"/>
  <c r="E134" i="10"/>
  <c r="D134" i="10"/>
  <c r="C134" i="10"/>
  <c r="M133" i="10"/>
  <c r="L133" i="10"/>
  <c r="K133" i="10"/>
  <c r="J133" i="10"/>
  <c r="I133" i="10"/>
  <c r="H133" i="10"/>
  <c r="G133" i="10"/>
  <c r="F133" i="10"/>
  <c r="E133" i="10"/>
  <c r="D133" i="10"/>
  <c r="C133" i="10"/>
  <c r="M132" i="10"/>
  <c r="L132" i="10"/>
  <c r="K132" i="10"/>
  <c r="J132" i="10"/>
  <c r="I132" i="10"/>
  <c r="H132" i="10"/>
  <c r="G132" i="10"/>
  <c r="F132" i="10"/>
  <c r="E132" i="10"/>
  <c r="D132" i="10"/>
  <c r="N132" i="10" s="1"/>
  <c r="M129" i="10"/>
  <c r="M139" i="10" s="1"/>
  <c r="L129" i="10"/>
  <c r="L139" i="10" s="1"/>
  <c r="K129" i="10"/>
  <c r="J129" i="10"/>
  <c r="J139" i="10" s="1"/>
  <c r="I129" i="10"/>
  <c r="H129" i="10"/>
  <c r="H139" i="10" s="1"/>
  <c r="G129" i="10"/>
  <c r="G139" i="10" s="1"/>
  <c r="F129" i="10"/>
  <c r="F139" i="10" s="1"/>
  <c r="E129" i="10"/>
  <c r="E139" i="10" s="1"/>
  <c r="D129" i="10"/>
  <c r="D139" i="10" s="1"/>
  <c r="C129" i="10"/>
  <c r="M124" i="10"/>
  <c r="L124" i="10"/>
  <c r="K124" i="10"/>
  <c r="J124" i="10"/>
  <c r="I124" i="10"/>
  <c r="H124" i="10"/>
  <c r="G124" i="10"/>
  <c r="F124" i="10"/>
  <c r="E124" i="10"/>
  <c r="D124" i="10"/>
  <c r="N124" i="10" s="1"/>
  <c r="C124" i="10"/>
  <c r="H123" i="10"/>
  <c r="G123" i="10"/>
  <c r="F123" i="10"/>
  <c r="E123" i="10"/>
  <c r="D123" i="10"/>
  <c r="C123" i="10"/>
  <c r="M117" i="10"/>
  <c r="M113" i="10"/>
  <c r="L113" i="10"/>
  <c r="K113" i="10"/>
  <c r="J113" i="10"/>
  <c r="I113" i="10"/>
  <c r="H113" i="10"/>
  <c r="G113" i="10"/>
  <c r="F113" i="10"/>
  <c r="E113" i="10"/>
  <c r="D113" i="10"/>
  <c r="C113" i="10"/>
  <c r="M112" i="10"/>
  <c r="L112" i="10"/>
  <c r="K112" i="10"/>
  <c r="J112" i="10"/>
  <c r="I112" i="10"/>
  <c r="H112" i="10"/>
  <c r="G112" i="10"/>
  <c r="F112" i="10"/>
  <c r="E112" i="10"/>
  <c r="D112" i="10"/>
  <c r="N112" i="10" s="1"/>
  <c r="C112" i="10"/>
  <c r="M111" i="10"/>
  <c r="L111" i="10"/>
  <c r="K111" i="10"/>
  <c r="J111" i="10"/>
  <c r="I111" i="10"/>
  <c r="H111" i="10"/>
  <c r="G111" i="10"/>
  <c r="F111" i="10"/>
  <c r="E111" i="10"/>
  <c r="D111" i="10"/>
  <c r="C111" i="10"/>
  <c r="M110" i="10"/>
  <c r="L110" i="10"/>
  <c r="K110" i="10"/>
  <c r="J110" i="10"/>
  <c r="I110" i="10"/>
  <c r="H110" i="10"/>
  <c r="G110" i="10"/>
  <c r="F110" i="10"/>
  <c r="E110" i="10"/>
  <c r="E117" i="10" s="1"/>
  <c r="D110" i="10"/>
  <c r="N110" i="10" s="1"/>
  <c r="C110" i="10"/>
  <c r="O110" i="10" s="1"/>
  <c r="P110" i="10" s="1"/>
  <c r="M108" i="10"/>
  <c r="L108" i="10"/>
  <c r="K108" i="10"/>
  <c r="J108" i="10"/>
  <c r="I108" i="10"/>
  <c r="H108" i="10"/>
  <c r="G108" i="10"/>
  <c r="F108" i="10"/>
  <c r="E108" i="10"/>
  <c r="D108" i="10"/>
  <c r="C108" i="10"/>
  <c r="M107" i="10"/>
  <c r="L107" i="10"/>
  <c r="L117" i="10" s="1"/>
  <c r="K107" i="10"/>
  <c r="J107" i="10"/>
  <c r="J117" i="10" s="1"/>
  <c r="I107" i="10"/>
  <c r="I117" i="10" s="1"/>
  <c r="H107" i="10"/>
  <c r="H117" i="10" s="1"/>
  <c r="G107" i="10"/>
  <c r="F107" i="10"/>
  <c r="F117" i="10" s="1"/>
  <c r="E107" i="10"/>
  <c r="D107" i="10"/>
  <c r="D117" i="10" s="1"/>
  <c r="M102" i="10"/>
  <c r="L102" i="10"/>
  <c r="K102" i="10"/>
  <c r="J102" i="10"/>
  <c r="I102" i="10"/>
  <c r="H102" i="10"/>
  <c r="G102" i="10"/>
  <c r="F102" i="10"/>
  <c r="E102" i="10"/>
  <c r="C102" i="10"/>
  <c r="M101" i="10"/>
  <c r="L101" i="10"/>
  <c r="K101" i="10"/>
  <c r="K106" i="10" s="1"/>
  <c r="J101" i="10"/>
  <c r="I101" i="10"/>
  <c r="H101" i="10"/>
  <c r="G101" i="10"/>
  <c r="F101" i="10"/>
  <c r="E101" i="10"/>
  <c r="D101" i="10"/>
  <c r="C101" i="10"/>
  <c r="M100" i="10"/>
  <c r="L100" i="10"/>
  <c r="K100" i="10"/>
  <c r="J100" i="10"/>
  <c r="I100" i="10"/>
  <c r="H100" i="10"/>
  <c r="G100" i="10"/>
  <c r="F100" i="10"/>
  <c r="E100" i="10"/>
  <c r="D100" i="10"/>
  <c r="C100" i="10"/>
  <c r="K99" i="10"/>
  <c r="J99" i="10"/>
  <c r="I99" i="10"/>
  <c r="H99" i="10"/>
  <c r="G99" i="10"/>
  <c r="M96" i="10"/>
  <c r="L96" i="10"/>
  <c r="K96" i="10"/>
  <c r="J96" i="10"/>
  <c r="J106" i="10" s="1"/>
  <c r="I96" i="10"/>
  <c r="I106" i="10" s="1"/>
  <c r="H96" i="10"/>
  <c r="H106" i="10" s="1"/>
  <c r="G96" i="10"/>
  <c r="F96" i="10"/>
  <c r="E96" i="10"/>
  <c r="D96" i="10"/>
  <c r="C96" i="10"/>
  <c r="I91" i="10"/>
  <c r="E91" i="10"/>
  <c r="C91" i="10"/>
  <c r="M90" i="10"/>
  <c r="L90" i="10"/>
  <c r="K90" i="10"/>
  <c r="J90" i="10"/>
  <c r="I90" i="10"/>
  <c r="H90" i="10"/>
  <c r="G90" i="10"/>
  <c r="F90" i="10"/>
  <c r="E90" i="10"/>
  <c r="D90" i="10"/>
  <c r="C90" i="10"/>
  <c r="C89" i="10"/>
  <c r="M85" i="10"/>
  <c r="L85" i="10"/>
  <c r="K85" i="10"/>
  <c r="J85" i="10"/>
  <c r="I85" i="10"/>
  <c r="H85" i="10"/>
  <c r="G85" i="10"/>
  <c r="F85" i="10"/>
  <c r="E85" i="10"/>
  <c r="D85" i="10"/>
  <c r="N85" i="10" s="1"/>
  <c r="E84" i="10"/>
  <c r="M82" i="10"/>
  <c r="L82" i="10"/>
  <c r="K82" i="10"/>
  <c r="J82" i="10"/>
  <c r="I82" i="10"/>
  <c r="H82" i="10"/>
  <c r="G82" i="10"/>
  <c r="F82" i="10"/>
  <c r="E82" i="10"/>
  <c r="D82" i="10"/>
  <c r="C82" i="10"/>
  <c r="M81" i="10"/>
  <c r="L81" i="10"/>
  <c r="K81" i="10"/>
  <c r="J81" i="10"/>
  <c r="I81" i="10"/>
  <c r="H81" i="10"/>
  <c r="G81" i="10"/>
  <c r="F81" i="10"/>
  <c r="E81" i="10"/>
  <c r="D81" i="10"/>
  <c r="C81" i="10"/>
  <c r="M80" i="10"/>
  <c r="L80" i="10"/>
  <c r="K80" i="10"/>
  <c r="J80" i="10"/>
  <c r="I80" i="10"/>
  <c r="H80" i="10"/>
  <c r="G80" i="10"/>
  <c r="F80" i="10"/>
  <c r="E80" i="10"/>
  <c r="D80" i="10"/>
  <c r="C80" i="10"/>
  <c r="M79" i="10"/>
  <c r="L79" i="10"/>
  <c r="K79" i="10"/>
  <c r="J79" i="10"/>
  <c r="I79" i="10"/>
  <c r="I84" i="10" s="1"/>
  <c r="H79" i="10"/>
  <c r="G79" i="10"/>
  <c r="F79" i="10"/>
  <c r="E79" i="10"/>
  <c r="D79" i="10"/>
  <c r="N79" i="10" s="1"/>
  <c r="C79" i="10"/>
  <c r="M78" i="10"/>
  <c r="L78" i="10"/>
  <c r="K78" i="10"/>
  <c r="J78" i="10"/>
  <c r="I78" i="10"/>
  <c r="H78" i="10"/>
  <c r="G78" i="10"/>
  <c r="F78" i="10"/>
  <c r="E78" i="10"/>
  <c r="N78" i="10" s="1"/>
  <c r="O78" i="10" s="1"/>
  <c r="P78" i="10" s="1"/>
  <c r="D78" i="10"/>
  <c r="C78" i="10"/>
  <c r="M77" i="10"/>
  <c r="L77" i="10"/>
  <c r="K77" i="10"/>
  <c r="J77" i="10"/>
  <c r="I77" i="10"/>
  <c r="H77" i="10"/>
  <c r="G77" i="10"/>
  <c r="F77" i="10"/>
  <c r="E77" i="10"/>
  <c r="D77" i="10"/>
  <c r="N77" i="10" s="1"/>
  <c r="O77" i="10" s="1"/>
  <c r="P77" i="10" s="1"/>
  <c r="C77" i="10"/>
  <c r="M76" i="10"/>
  <c r="L76" i="10"/>
  <c r="K76" i="10"/>
  <c r="J76" i="10"/>
  <c r="I76" i="10"/>
  <c r="H76" i="10"/>
  <c r="G76" i="10"/>
  <c r="F76" i="10"/>
  <c r="E76" i="10"/>
  <c r="D76" i="10"/>
  <c r="C76" i="10"/>
  <c r="M75" i="10"/>
  <c r="L75" i="10"/>
  <c r="K75" i="10"/>
  <c r="J75" i="10"/>
  <c r="I75" i="10"/>
  <c r="H75" i="10"/>
  <c r="G75" i="10"/>
  <c r="F75" i="10"/>
  <c r="E75" i="10"/>
  <c r="D75" i="10"/>
  <c r="M74" i="10"/>
  <c r="L74" i="10"/>
  <c r="L84" i="10" s="1"/>
  <c r="K74" i="10"/>
  <c r="J74" i="10"/>
  <c r="J84" i="10" s="1"/>
  <c r="I74" i="10"/>
  <c r="H74" i="10"/>
  <c r="H84" i="10" s="1"/>
  <c r="G74" i="10"/>
  <c r="F74" i="10"/>
  <c r="F84" i="10" s="1"/>
  <c r="E74" i="10"/>
  <c r="D74" i="10"/>
  <c r="C74" i="10"/>
  <c r="M69" i="10"/>
  <c r="L69" i="10"/>
  <c r="K69" i="10"/>
  <c r="J69" i="10"/>
  <c r="I69" i="10"/>
  <c r="H69" i="10"/>
  <c r="G69" i="10"/>
  <c r="F69" i="10"/>
  <c r="E69" i="10"/>
  <c r="D69" i="10"/>
  <c r="N69" i="10" s="1"/>
  <c r="C69" i="10"/>
  <c r="M68" i="10"/>
  <c r="L68" i="10"/>
  <c r="K68" i="10"/>
  <c r="J68" i="10"/>
  <c r="I68" i="10"/>
  <c r="H68" i="10"/>
  <c r="G68" i="10"/>
  <c r="F68" i="10"/>
  <c r="E68" i="10"/>
  <c r="D68" i="10"/>
  <c r="N68" i="10" s="1"/>
  <c r="C68" i="10"/>
  <c r="M67" i="10"/>
  <c r="L67" i="10"/>
  <c r="K67" i="10"/>
  <c r="J67" i="10"/>
  <c r="I67" i="10"/>
  <c r="H67" i="10"/>
  <c r="G67" i="10"/>
  <c r="F67" i="10"/>
  <c r="E67" i="10"/>
  <c r="D67" i="10"/>
  <c r="C67" i="10"/>
  <c r="M66" i="10"/>
  <c r="L66" i="10"/>
  <c r="K66" i="10"/>
  <c r="J66" i="10"/>
  <c r="I66" i="10"/>
  <c r="H66" i="10"/>
  <c r="G66" i="10"/>
  <c r="F66" i="10"/>
  <c r="E66" i="10"/>
  <c r="D66" i="10"/>
  <c r="N66" i="10" s="1"/>
  <c r="M64" i="10"/>
  <c r="L64" i="10"/>
  <c r="K64" i="10"/>
  <c r="J64" i="10"/>
  <c r="I64" i="10"/>
  <c r="H64" i="10"/>
  <c r="G64" i="10"/>
  <c r="F64" i="10"/>
  <c r="E64" i="10"/>
  <c r="D64" i="10"/>
  <c r="C64" i="10"/>
  <c r="M63" i="10"/>
  <c r="M73" i="10" s="1"/>
  <c r="L63" i="10"/>
  <c r="L73" i="10" s="1"/>
  <c r="K63" i="10"/>
  <c r="J63" i="10"/>
  <c r="J73" i="10" s="1"/>
  <c r="I63" i="10"/>
  <c r="I73" i="10" s="1"/>
  <c r="H63" i="10"/>
  <c r="H73" i="10" s="1"/>
  <c r="G63" i="10"/>
  <c r="F63" i="10"/>
  <c r="F73" i="10" s="1"/>
  <c r="E63" i="10"/>
  <c r="C63" i="10"/>
  <c r="K62" i="10"/>
  <c r="M61" i="10"/>
  <c r="L61" i="10"/>
  <c r="K61" i="10"/>
  <c r="J61" i="10"/>
  <c r="I61" i="10"/>
  <c r="H61" i="10"/>
  <c r="G61" i="10"/>
  <c r="F61" i="10"/>
  <c r="E61" i="10"/>
  <c r="D61" i="10"/>
  <c r="C61" i="10"/>
  <c r="M60" i="10"/>
  <c r="L60" i="10"/>
  <c r="K60" i="10"/>
  <c r="J60" i="10"/>
  <c r="I60" i="10"/>
  <c r="H60" i="10"/>
  <c r="G60" i="10"/>
  <c r="G62" i="10" s="1"/>
  <c r="F60" i="10"/>
  <c r="E60" i="10"/>
  <c r="D60" i="10"/>
  <c r="C60" i="10"/>
  <c r="M58" i="10"/>
  <c r="L58" i="10"/>
  <c r="K58" i="10"/>
  <c r="J58" i="10"/>
  <c r="I58" i="10"/>
  <c r="H58" i="10"/>
  <c r="G58" i="10"/>
  <c r="F58" i="10"/>
  <c r="E58" i="10"/>
  <c r="D58" i="10"/>
  <c r="C58" i="10"/>
  <c r="M57" i="10"/>
  <c r="L57" i="10"/>
  <c r="K57" i="10"/>
  <c r="J57" i="10"/>
  <c r="I57" i="10"/>
  <c r="H57" i="10"/>
  <c r="G57" i="10"/>
  <c r="F57" i="10"/>
  <c r="E57" i="10"/>
  <c r="D57" i="10"/>
  <c r="C57" i="10"/>
  <c r="M56" i="10"/>
  <c r="L56" i="10"/>
  <c r="K56" i="10"/>
  <c r="J56" i="10"/>
  <c r="I56" i="10"/>
  <c r="H56" i="10"/>
  <c r="G56" i="10"/>
  <c r="F56" i="10"/>
  <c r="E56" i="10"/>
  <c r="D56" i="10"/>
  <c r="C56" i="10"/>
  <c r="M55" i="10"/>
  <c r="L55" i="10"/>
  <c r="K55" i="10"/>
  <c r="J55" i="10"/>
  <c r="I55" i="10"/>
  <c r="H55" i="10"/>
  <c r="G55" i="10"/>
  <c r="F55" i="10"/>
  <c r="E55" i="10"/>
  <c r="D55" i="10"/>
  <c r="C55" i="10"/>
  <c r="M54" i="10"/>
  <c r="L54" i="10"/>
  <c r="K54" i="10"/>
  <c r="J54" i="10"/>
  <c r="I54" i="10"/>
  <c r="H54" i="10"/>
  <c r="G54" i="10"/>
  <c r="F54" i="10"/>
  <c r="E54" i="10"/>
  <c r="D54" i="10"/>
  <c r="N54" i="10" s="1"/>
  <c r="C54" i="10"/>
  <c r="M53" i="10"/>
  <c r="L53" i="10"/>
  <c r="L62" i="10" s="1"/>
  <c r="K53" i="10"/>
  <c r="J53" i="10"/>
  <c r="J62" i="10" s="1"/>
  <c r="I53" i="10"/>
  <c r="H53" i="10"/>
  <c r="H62" i="10" s="1"/>
  <c r="G53" i="10"/>
  <c r="F53" i="10"/>
  <c r="F62" i="10" s="1"/>
  <c r="E53" i="10"/>
  <c r="D53" i="10"/>
  <c r="C53" i="10"/>
  <c r="I51" i="10"/>
  <c r="M50" i="10"/>
  <c r="L50" i="10"/>
  <c r="K50" i="10"/>
  <c r="J50" i="10"/>
  <c r="I50" i="10"/>
  <c r="H50" i="10"/>
  <c r="G50" i="10"/>
  <c r="F50" i="10"/>
  <c r="E50" i="10"/>
  <c r="D50" i="10"/>
  <c r="C50" i="10"/>
  <c r="M48" i="10"/>
  <c r="L48" i="10"/>
  <c r="K48" i="10"/>
  <c r="J48" i="10"/>
  <c r="I48" i="10"/>
  <c r="H48" i="10"/>
  <c r="G48" i="10"/>
  <c r="F48" i="10"/>
  <c r="E48" i="10"/>
  <c r="D48" i="10"/>
  <c r="C48" i="10"/>
  <c r="M47" i="10"/>
  <c r="L47" i="10"/>
  <c r="K47" i="10"/>
  <c r="J47" i="10"/>
  <c r="I47" i="10"/>
  <c r="H47" i="10"/>
  <c r="G47" i="10"/>
  <c r="F47" i="10"/>
  <c r="E47" i="10"/>
  <c r="D47" i="10"/>
  <c r="C47" i="10"/>
  <c r="M46" i="10"/>
  <c r="L46" i="10"/>
  <c r="K46" i="10"/>
  <c r="J46" i="10"/>
  <c r="I46" i="10"/>
  <c r="H46" i="10"/>
  <c r="G46" i="10"/>
  <c r="F46" i="10"/>
  <c r="E46" i="10"/>
  <c r="D46" i="10"/>
  <c r="N46" i="10" s="1"/>
  <c r="C46" i="10"/>
  <c r="M45" i="10"/>
  <c r="L45" i="10"/>
  <c r="K45" i="10"/>
  <c r="J45" i="10"/>
  <c r="I45" i="10"/>
  <c r="H45" i="10"/>
  <c r="G45" i="10"/>
  <c r="F45" i="10"/>
  <c r="E45" i="10"/>
  <c r="D45" i="10"/>
  <c r="C45" i="10"/>
  <c r="M44" i="10"/>
  <c r="L44" i="10"/>
  <c r="K44" i="10"/>
  <c r="J44" i="10"/>
  <c r="I44" i="10"/>
  <c r="H44" i="10"/>
  <c r="G44" i="10"/>
  <c r="F44" i="10"/>
  <c r="E44" i="10"/>
  <c r="D44" i="10"/>
  <c r="C44" i="10"/>
  <c r="M43" i="10"/>
  <c r="L43" i="10"/>
  <c r="K43" i="10"/>
  <c r="J43" i="10"/>
  <c r="I43" i="10"/>
  <c r="H43" i="10"/>
  <c r="G43" i="10"/>
  <c r="F43" i="10"/>
  <c r="E43" i="10"/>
  <c r="D43" i="10"/>
  <c r="N43" i="10" s="1"/>
  <c r="O43" i="10" s="1"/>
  <c r="P43" i="10" s="1"/>
  <c r="C43" i="10"/>
  <c r="M42" i="10"/>
  <c r="L42" i="10"/>
  <c r="L51" i="10" s="1"/>
  <c r="K42" i="10"/>
  <c r="J42" i="10"/>
  <c r="J51" i="10" s="1"/>
  <c r="I42" i="10"/>
  <c r="H42" i="10"/>
  <c r="H51" i="10" s="1"/>
  <c r="G42" i="10"/>
  <c r="G51" i="10" s="1"/>
  <c r="F42" i="10"/>
  <c r="F51" i="10" s="1"/>
  <c r="C42" i="10"/>
  <c r="M37" i="10"/>
  <c r="L37" i="10"/>
  <c r="K37" i="10"/>
  <c r="J37" i="10"/>
  <c r="I37" i="10"/>
  <c r="H37" i="10"/>
  <c r="G37" i="10"/>
  <c r="F37" i="10"/>
  <c r="E37" i="10"/>
  <c r="C37" i="10"/>
  <c r="M36" i="10"/>
  <c r="L36" i="10"/>
  <c r="K36" i="10"/>
  <c r="J36" i="10"/>
  <c r="I36" i="10"/>
  <c r="H36" i="10"/>
  <c r="G36" i="10"/>
  <c r="F36" i="10"/>
  <c r="E36" i="10"/>
  <c r="N36" i="10" s="1"/>
  <c r="O36" i="10" s="1"/>
  <c r="P36" i="10" s="1"/>
  <c r="D36" i="10"/>
  <c r="C36" i="10"/>
  <c r="M35" i="10"/>
  <c r="L35" i="10"/>
  <c r="K35" i="10"/>
  <c r="J35" i="10"/>
  <c r="I35" i="10"/>
  <c r="H35" i="10"/>
  <c r="C35" i="10"/>
  <c r="M34" i="10"/>
  <c r="L34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M32" i="10"/>
  <c r="L32" i="10"/>
  <c r="K32" i="10"/>
  <c r="J32" i="10"/>
  <c r="I32" i="10"/>
  <c r="H32" i="10"/>
  <c r="G32" i="10"/>
  <c r="F32" i="10"/>
  <c r="N32" i="10" s="1"/>
  <c r="O32" i="10" s="1"/>
  <c r="P32" i="10" s="1"/>
  <c r="E32" i="10"/>
  <c r="D32" i="10"/>
  <c r="C32" i="10"/>
  <c r="J31" i="10"/>
  <c r="I31" i="10"/>
  <c r="H31" i="10"/>
  <c r="G31" i="10"/>
  <c r="F31" i="10"/>
  <c r="E31" i="10"/>
  <c r="K30" i="10"/>
  <c r="J30" i="10"/>
  <c r="I30" i="10"/>
  <c r="H30" i="10"/>
  <c r="F30" i="10"/>
  <c r="C30" i="10"/>
  <c r="M26" i="10"/>
  <c r="L26" i="10"/>
  <c r="K26" i="10"/>
  <c r="J26" i="10"/>
  <c r="I26" i="10"/>
  <c r="H26" i="10"/>
  <c r="G26" i="10"/>
  <c r="F26" i="10"/>
  <c r="E26" i="10"/>
  <c r="N26" i="10" s="1"/>
  <c r="O26" i="10" s="1"/>
  <c r="P26" i="10" s="1"/>
  <c r="D26" i="10"/>
  <c r="C26" i="10"/>
  <c r="M25" i="10"/>
  <c r="L25" i="10"/>
  <c r="K25" i="10"/>
  <c r="J25" i="10"/>
  <c r="I25" i="10"/>
  <c r="H25" i="10"/>
  <c r="G25" i="10"/>
  <c r="F25" i="10"/>
  <c r="N25" i="10" s="1"/>
  <c r="E25" i="10"/>
  <c r="D25" i="10"/>
  <c r="C25" i="10"/>
  <c r="M24" i="10"/>
  <c r="L24" i="10"/>
  <c r="K24" i="10"/>
  <c r="J24" i="10"/>
  <c r="I24" i="10"/>
  <c r="H24" i="10"/>
  <c r="G24" i="10"/>
  <c r="F24" i="10"/>
  <c r="C24" i="10"/>
  <c r="M23" i="10"/>
  <c r="L23" i="10"/>
  <c r="K23" i="10"/>
  <c r="J23" i="10"/>
  <c r="I23" i="10"/>
  <c r="H23" i="10"/>
  <c r="G23" i="10"/>
  <c r="F23" i="10"/>
  <c r="D23" i="10"/>
  <c r="C23" i="10"/>
  <c r="L22" i="10"/>
  <c r="K22" i="10"/>
  <c r="J22" i="10"/>
  <c r="I22" i="10"/>
  <c r="H22" i="10"/>
  <c r="G22" i="10"/>
  <c r="F22" i="10"/>
  <c r="C22" i="10"/>
  <c r="M21" i="10"/>
  <c r="L21" i="10"/>
  <c r="K21" i="10"/>
  <c r="J21" i="10"/>
  <c r="I21" i="10"/>
  <c r="H21" i="10"/>
  <c r="G21" i="10"/>
  <c r="F21" i="10"/>
  <c r="N21" i="10" s="1"/>
  <c r="E21" i="10"/>
  <c r="D21" i="10"/>
  <c r="C21" i="10"/>
  <c r="M20" i="10"/>
  <c r="L20" i="10"/>
  <c r="K20" i="10"/>
  <c r="J20" i="10"/>
  <c r="I20" i="10"/>
  <c r="H20" i="10"/>
  <c r="G20" i="10"/>
  <c r="F20" i="10"/>
  <c r="E20" i="10"/>
  <c r="D20" i="10"/>
  <c r="C20" i="10"/>
  <c r="J19" i="10"/>
  <c r="I19" i="10"/>
  <c r="H19" i="10"/>
  <c r="G19" i="10"/>
  <c r="F19" i="10"/>
  <c r="C19" i="10"/>
  <c r="C18" i="10"/>
  <c r="C16" i="10"/>
  <c r="C15" i="10"/>
  <c r="C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C11" i="10"/>
  <c r="M10" i="10"/>
  <c r="L10" i="10"/>
  <c r="K10" i="10"/>
  <c r="J10" i="10"/>
  <c r="I10" i="10"/>
  <c r="H10" i="10"/>
  <c r="G10" i="10"/>
  <c r="F10" i="10"/>
  <c r="N10" i="10" s="1"/>
  <c r="O10" i="10" s="1"/>
  <c r="P10" i="10" s="1"/>
  <c r="E10" i="10"/>
  <c r="D10" i="10"/>
  <c r="C10" i="10"/>
  <c r="M9" i="10"/>
  <c r="L9" i="10"/>
  <c r="K9" i="10"/>
  <c r="J9" i="10"/>
  <c r="I9" i="10"/>
  <c r="H9" i="10"/>
  <c r="G9" i="10"/>
  <c r="G17" i="10" s="1"/>
  <c r="F9" i="10"/>
  <c r="E9" i="10"/>
  <c r="D9" i="10"/>
  <c r="C9" i="10"/>
  <c r="M8" i="10"/>
  <c r="L8" i="10"/>
  <c r="K8" i="10"/>
  <c r="J8" i="10"/>
  <c r="I8" i="10"/>
  <c r="H8" i="10"/>
  <c r="G8" i="10"/>
  <c r="F8" i="10"/>
  <c r="F17" i="10" s="1"/>
  <c r="E8" i="10"/>
  <c r="D8" i="10"/>
  <c r="C8" i="10"/>
  <c r="M7" i="10"/>
  <c r="L7" i="10"/>
  <c r="L17" i="10" s="1"/>
  <c r="K7" i="10"/>
  <c r="K17" i="10" s="1"/>
  <c r="J7" i="10"/>
  <c r="I7" i="10"/>
  <c r="H7" i="10"/>
  <c r="H17" i="10" s="1"/>
  <c r="G7" i="10"/>
  <c r="F7" i="10"/>
  <c r="E7" i="10"/>
  <c r="D7" i="10"/>
  <c r="C7" i="10"/>
  <c r="O628" i="9"/>
  <c r="N628" i="9"/>
  <c r="M628" i="9"/>
  <c r="L628" i="9"/>
  <c r="K628" i="9"/>
  <c r="J628" i="9"/>
  <c r="I628" i="9"/>
  <c r="H628" i="9"/>
  <c r="G628" i="9"/>
  <c r="P628" i="9" s="1"/>
  <c r="F628" i="9"/>
  <c r="E628" i="9"/>
  <c r="P624" i="9"/>
  <c r="Q624" i="9" s="1"/>
  <c r="R624" i="9" s="1"/>
  <c r="Q623" i="9"/>
  <c r="R623" i="9" s="1"/>
  <c r="P623" i="9"/>
  <c r="Q622" i="9"/>
  <c r="R622" i="9" s="1"/>
  <c r="P622" i="9"/>
  <c r="P621" i="9"/>
  <c r="Q621" i="9" s="1"/>
  <c r="R621" i="9" s="1"/>
  <c r="Q620" i="9"/>
  <c r="R620" i="9" s="1"/>
  <c r="P620" i="9"/>
  <c r="R619" i="9"/>
  <c r="Q619" i="9"/>
  <c r="P619" i="9"/>
  <c r="P618" i="9"/>
  <c r="Q618" i="9" s="1"/>
  <c r="R618" i="9" s="1"/>
  <c r="O611" i="9"/>
  <c r="N611" i="9"/>
  <c r="M611" i="9"/>
  <c r="L611" i="9"/>
  <c r="K611" i="9"/>
  <c r="J611" i="9"/>
  <c r="I611" i="9"/>
  <c r="H611" i="9"/>
  <c r="G611" i="9"/>
  <c r="F611" i="9"/>
  <c r="E611" i="9"/>
  <c r="P596" i="9"/>
  <c r="Q596" i="9" s="1"/>
  <c r="R596" i="9" s="1"/>
  <c r="O566" i="9"/>
  <c r="N566" i="9"/>
  <c r="M566" i="9"/>
  <c r="L566" i="9"/>
  <c r="K566" i="9"/>
  <c r="J566" i="9"/>
  <c r="I566" i="9"/>
  <c r="H566" i="9"/>
  <c r="G566" i="9"/>
  <c r="F566" i="9"/>
  <c r="E566" i="9"/>
  <c r="R563" i="9"/>
  <c r="Q563" i="9"/>
  <c r="P563" i="9"/>
  <c r="R562" i="9"/>
  <c r="Q562" i="9"/>
  <c r="P562" i="9"/>
  <c r="E562" i="9"/>
  <c r="Q561" i="9"/>
  <c r="R561" i="9" s="1"/>
  <c r="P561" i="9"/>
  <c r="P559" i="9"/>
  <c r="Q559" i="9" s="1"/>
  <c r="R559" i="9" s="1"/>
  <c r="P558" i="9"/>
  <c r="Q558" i="9" s="1"/>
  <c r="R558" i="9" s="1"/>
  <c r="R557" i="9"/>
  <c r="Q557" i="9"/>
  <c r="P557" i="9"/>
  <c r="O551" i="9"/>
  <c r="N551" i="9"/>
  <c r="M551" i="9"/>
  <c r="L551" i="9"/>
  <c r="K551" i="9"/>
  <c r="J551" i="9"/>
  <c r="I551" i="9"/>
  <c r="H551" i="9"/>
  <c r="G551" i="9"/>
  <c r="F551" i="9"/>
  <c r="E551" i="9"/>
  <c r="R549" i="9"/>
  <c r="P549" i="9"/>
  <c r="Q549" i="9" s="1"/>
  <c r="P535" i="9"/>
  <c r="Q535" i="9" s="1"/>
  <c r="R535" i="9" s="1"/>
  <c r="O534" i="9"/>
  <c r="N534" i="9"/>
  <c r="M534" i="9"/>
  <c r="L534" i="9"/>
  <c r="K534" i="9"/>
  <c r="J534" i="9"/>
  <c r="I534" i="9"/>
  <c r="H534" i="9"/>
  <c r="G534" i="9"/>
  <c r="F534" i="9"/>
  <c r="E534" i="9"/>
  <c r="P533" i="9"/>
  <c r="Q533" i="9" s="1"/>
  <c r="R533" i="9" s="1"/>
  <c r="Q532" i="9"/>
  <c r="R532" i="9" s="1"/>
  <c r="P532" i="9"/>
  <c r="Q531" i="9"/>
  <c r="R531" i="9" s="1"/>
  <c r="P531" i="9"/>
  <c r="P530" i="9"/>
  <c r="Q530" i="9" s="1"/>
  <c r="R530" i="9" s="1"/>
  <c r="P524" i="9"/>
  <c r="Q524" i="9" s="1"/>
  <c r="R524" i="9" s="1"/>
  <c r="R523" i="9"/>
  <c r="P523" i="9"/>
  <c r="Q523" i="9" s="1"/>
  <c r="P518" i="9"/>
  <c r="Q518" i="9" s="1"/>
  <c r="R518" i="9" s="1"/>
  <c r="E518" i="9"/>
  <c r="O517" i="9"/>
  <c r="N517" i="9"/>
  <c r="M517" i="9"/>
  <c r="L517" i="9"/>
  <c r="K517" i="9"/>
  <c r="J517" i="9"/>
  <c r="I517" i="9"/>
  <c r="H517" i="9"/>
  <c r="G517" i="9"/>
  <c r="F517" i="9"/>
  <c r="P517" i="9" s="1"/>
  <c r="E517" i="9"/>
  <c r="P513" i="9"/>
  <c r="Q513" i="9" s="1"/>
  <c r="R513" i="9" s="1"/>
  <c r="R508" i="9"/>
  <c r="P508" i="9"/>
  <c r="Q508" i="9" s="1"/>
  <c r="P506" i="9"/>
  <c r="Q506" i="9" s="1"/>
  <c r="R506" i="9" s="1"/>
  <c r="O500" i="9"/>
  <c r="N500" i="9"/>
  <c r="M500" i="9"/>
  <c r="L500" i="9"/>
  <c r="K500" i="9"/>
  <c r="J500" i="9"/>
  <c r="I500" i="9"/>
  <c r="H500" i="9"/>
  <c r="P500" i="9" s="1"/>
  <c r="Q500" i="9" s="1"/>
  <c r="R500" i="9" s="1"/>
  <c r="G500" i="9"/>
  <c r="F500" i="9"/>
  <c r="E500" i="9"/>
  <c r="R496" i="9"/>
  <c r="Q496" i="9"/>
  <c r="P496" i="9"/>
  <c r="Q489" i="9"/>
  <c r="R489" i="9" s="1"/>
  <c r="P489" i="9"/>
  <c r="P485" i="9"/>
  <c r="Q485" i="9" s="1"/>
  <c r="R485" i="9" s="1"/>
  <c r="O483" i="9"/>
  <c r="N483" i="9"/>
  <c r="M483" i="9"/>
  <c r="L483" i="9"/>
  <c r="K483" i="9"/>
  <c r="J483" i="9"/>
  <c r="I483" i="9"/>
  <c r="H483" i="9"/>
  <c r="G483" i="9"/>
  <c r="F483" i="9"/>
  <c r="E483" i="9"/>
  <c r="Q482" i="9"/>
  <c r="R482" i="9" s="1"/>
  <c r="P482" i="9"/>
  <c r="Q481" i="9"/>
  <c r="R481" i="9" s="1"/>
  <c r="P481" i="9"/>
  <c r="P480" i="9"/>
  <c r="Q480" i="9" s="1"/>
  <c r="R480" i="9" s="1"/>
  <c r="O432" i="9"/>
  <c r="N432" i="9"/>
  <c r="M432" i="9"/>
  <c r="L432" i="9"/>
  <c r="K432" i="9"/>
  <c r="J432" i="9"/>
  <c r="I432" i="9"/>
  <c r="H432" i="9"/>
  <c r="G432" i="9"/>
  <c r="F432" i="9"/>
  <c r="E432" i="9"/>
  <c r="P417" i="9"/>
  <c r="Q417" i="9" s="1"/>
  <c r="R417" i="9" s="1"/>
  <c r="O415" i="9"/>
  <c r="N415" i="9"/>
  <c r="M415" i="9"/>
  <c r="L415" i="9"/>
  <c r="K415" i="9"/>
  <c r="J415" i="9"/>
  <c r="I415" i="9"/>
  <c r="H415" i="9"/>
  <c r="P415" i="9" s="1"/>
  <c r="G415" i="9"/>
  <c r="F415" i="9"/>
  <c r="E415" i="9"/>
  <c r="Q400" i="9"/>
  <c r="R400" i="9" s="1"/>
  <c r="P400" i="9"/>
  <c r="O398" i="9"/>
  <c r="N398" i="9"/>
  <c r="M398" i="9"/>
  <c r="L398" i="9"/>
  <c r="K398" i="9"/>
  <c r="J398" i="9"/>
  <c r="I398" i="9"/>
  <c r="H398" i="9"/>
  <c r="P398" i="9" s="1"/>
  <c r="Q398" i="9" s="1"/>
  <c r="R398" i="9" s="1"/>
  <c r="G398" i="9"/>
  <c r="F398" i="9"/>
  <c r="E398" i="9"/>
  <c r="Q383" i="9"/>
  <c r="R383" i="9" s="1"/>
  <c r="P383" i="9"/>
  <c r="O381" i="9"/>
  <c r="N381" i="9"/>
  <c r="M381" i="9"/>
  <c r="L381" i="9"/>
  <c r="K381" i="9"/>
  <c r="J381" i="9"/>
  <c r="I381" i="9"/>
  <c r="H381" i="9"/>
  <c r="G381" i="9"/>
  <c r="F381" i="9"/>
  <c r="E381" i="9"/>
  <c r="P366" i="9"/>
  <c r="Q366" i="9" s="1"/>
  <c r="R366" i="9" s="1"/>
  <c r="O364" i="9"/>
  <c r="N364" i="9"/>
  <c r="M364" i="9"/>
  <c r="L364" i="9"/>
  <c r="K364" i="9"/>
  <c r="J364" i="9"/>
  <c r="I364" i="9"/>
  <c r="H364" i="9"/>
  <c r="G364" i="9"/>
  <c r="F364" i="9"/>
  <c r="P364" i="9" s="1"/>
  <c r="E364" i="9"/>
  <c r="P349" i="9"/>
  <c r="Q349" i="9" s="1"/>
  <c r="R349" i="9" s="1"/>
  <c r="O347" i="9"/>
  <c r="N347" i="9"/>
  <c r="M347" i="9"/>
  <c r="L347" i="9"/>
  <c r="K347" i="9"/>
  <c r="J347" i="9"/>
  <c r="I347" i="9"/>
  <c r="H347" i="9"/>
  <c r="G347" i="9"/>
  <c r="F347" i="9"/>
  <c r="E347" i="9"/>
  <c r="R343" i="9"/>
  <c r="Q343" i="9"/>
  <c r="P343" i="9"/>
  <c r="P332" i="9"/>
  <c r="Q332" i="9" s="1"/>
  <c r="R332" i="9" s="1"/>
  <c r="O330" i="9"/>
  <c r="N330" i="9"/>
  <c r="M330" i="9"/>
  <c r="L330" i="9"/>
  <c r="K330" i="9"/>
  <c r="J330" i="9"/>
  <c r="I330" i="9"/>
  <c r="H330" i="9"/>
  <c r="P330" i="9" s="1"/>
  <c r="G330" i="9"/>
  <c r="F330" i="9"/>
  <c r="E330" i="9"/>
  <c r="Q315" i="9"/>
  <c r="R315" i="9" s="1"/>
  <c r="P315" i="9"/>
  <c r="O313" i="9"/>
  <c r="N313" i="9"/>
  <c r="M313" i="9"/>
  <c r="L313" i="9"/>
  <c r="K313" i="9"/>
  <c r="J313" i="9"/>
  <c r="I313" i="9"/>
  <c r="H313" i="9"/>
  <c r="G313" i="9"/>
  <c r="F313" i="9"/>
  <c r="E313" i="9"/>
  <c r="R298" i="9"/>
  <c r="Q298" i="9"/>
  <c r="P298" i="9"/>
  <c r="O296" i="9"/>
  <c r="N296" i="9"/>
  <c r="M296" i="9"/>
  <c r="L296" i="9"/>
  <c r="K296" i="9"/>
  <c r="J296" i="9"/>
  <c r="I296" i="9"/>
  <c r="H296" i="9"/>
  <c r="G296" i="9"/>
  <c r="F296" i="9"/>
  <c r="P296" i="9" s="1"/>
  <c r="Q296" i="9" s="1"/>
  <c r="R296" i="9" s="1"/>
  <c r="E296" i="9"/>
  <c r="P286" i="9"/>
  <c r="Q286" i="9" s="1"/>
  <c r="R286" i="9" s="1"/>
  <c r="R281" i="9"/>
  <c r="P281" i="9"/>
  <c r="Q281" i="9" s="1"/>
  <c r="O279" i="9"/>
  <c r="N279" i="9"/>
  <c r="M279" i="9"/>
  <c r="L279" i="9"/>
  <c r="K279" i="9"/>
  <c r="J279" i="9"/>
  <c r="I279" i="9"/>
  <c r="H279" i="9"/>
  <c r="P279" i="9" s="1"/>
  <c r="G279" i="9"/>
  <c r="F279" i="9"/>
  <c r="E279" i="9"/>
  <c r="P275" i="9"/>
  <c r="Q275" i="9" s="1"/>
  <c r="R275" i="9" s="1"/>
  <c r="R271" i="9"/>
  <c r="Q271" i="9"/>
  <c r="P271" i="9"/>
  <c r="Q270" i="9"/>
  <c r="R270" i="9" s="1"/>
  <c r="P270" i="9"/>
  <c r="Q264" i="9"/>
  <c r="R264" i="9" s="1"/>
  <c r="P264" i="9"/>
  <c r="O262" i="9"/>
  <c r="N262" i="9"/>
  <c r="M262" i="9"/>
  <c r="L262" i="9"/>
  <c r="K262" i="9"/>
  <c r="J262" i="9"/>
  <c r="I262" i="9"/>
  <c r="H262" i="9"/>
  <c r="G262" i="9"/>
  <c r="P262" i="9" s="1"/>
  <c r="F262" i="9"/>
  <c r="E262" i="9"/>
  <c r="P258" i="9"/>
  <c r="Q258" i="9" s="1"/>
  <c r="R258" i="9" s="1"/>
  <c r="W247" i="9"/>
  <c r="V247" i="9"/>
  <c r="P247" i="9"/>
  <c r="Q247" i="9" s="1"/>
  <c r="R247" i="9" s="1"/>
  <c r="O245" i="9"/>
  <c r="N245" i="9"/>
  <c r="M245" i="9"/>
  <c r="L245" i="9"/>
  <c r="K245" i="9"/>
  <c r="J245" i="9"/>
  <c r="I245" i="9"/>
  <c r="H245" i="9"/>
  <c r="P245" i="9" s="1"/>
  <c r="Q245" i="9" s="1"/>
  <c r="R245" i="9" s="1"/>
  <c r="G245" i="9"/>
  <c r="F245" i="9"/>
  <c r="E245" i="9"/>
  <c r="P241" i="9"/>
  <c r="Q241" i="9" s="1"/>
  <c r="R241" i="9" s="1"/>
  <c r="R229" i="9"/>
  <c r="Q229" i="9"/>
  <c r="P229" i="9"/>
  <c r="O228" i="9"/>
  <c r="N228" i="9"/>
  <c r="M228" i="9"/>
  <c r="L228" i="9"/>
  <c r="K228" i="9"/>
  <c r="J228" i="9"/>
  <c r="I228" i="9"/>
  <c r="H228" i="9"/>
  <c r="G228" i="9"/>
  <c r="F228" i="9"/>
  <c r="E228" i="9"/>
  <c r="R212" i="9"/>
  <c r="P212" i="9"/>
  <c r="Q212" i="9" s="1"/>
  <c r="O211" i="9"/>
  <c r="N211" i="9"/>
  <c r="M211" i="9"/>
  <c r="L211" i="9"/>
  <c r="K211" i="9"/>
  <c r="J211" i="9"/>
  <c r="I211" i="9"/>
  <c r="H211" i="9"/>
  <c r="G211" i="9"/>
  <c r="F211" i="9"/>
  <c r="E211" i="9"/>
  <c r="P207" i="9"/>
  <c r="Q207" i="9" s="1"/>
  <c r="R207" i="9" s="1"/>
  <c r="P195" i="9"/>
  <c r="Q195" i="9" s="1"/>
  <c r="R195" i="9" s="1"/>
  <c r="O194" i="9"/>
  <c r="N194" i="9"/>
  <c r="M194" i="9"/>
  <c r="L194" i="9"/>
  <c r="K194" i="9"/>
  <c r="J194" i="9"/>
  <c r="I194" i="9"/>
  <c r="H194" i="9"/>
  <c r="G194" i="9"/>
  <c r="F194" i="9"/>
  <c r="E194" i="9"/>
  <c r="P178" i="9"/>
  <c r="Q178" i="9" s="1"/>
  <c r="R178" i="9" s="1"/>
  <c r="O177" i="9"/>
  <c r="N177" i="9"/>
  <c r="M177" i="9"/>
  <c r="L177" i="9"/>
  <c r="K177" i="9"/>
  <c r="J177" i="9"/>
  <c r="I177" i="9"/>
  <c r="H177" i="9"/>
  <c r="P177" i="9" s="1"/>
  <c r="G177" i="9"/>
  <c r="F177" i="9"/>
  <c r="E177" i="9"/>
  <c r="P173" i="9"/>
  <c r="Q173" i="9" s="1"/>
  <c r="R173" i="9" s="1"/>
  <c r="Q161" i="9"/>
  <c r="R161" i="9" s="1"/>
  <c r="P161" i="9"/>
  <c r="O160" i="9"/>
  <c r="N160" i="9"/>
  <c r="M160" i="9"/>
  <c r="L160" i="9"/>
  <c r="K160" i="9"/>
  <c r="J160" i="9"/>
  <c r="I160" i="9"/>
  <c r="H160" i="9"/>
  <c r="G160" i="9"/>
  <c r="F160" i="9"/>
  <c r="E160" i="9"/>
  <c r="Q150" i="9"/>
  <c r="R150" i="9" s="1"/>
  <c r="P150" i="9"/>
  <c r="Q149" i="9"/>
  <c r="R149" i="9" s="1"/>
  <c r="P149" i="9"/>
  <c r="O143" i="9"/>
  <c r="N143" i="9"/>
  <c r="M143" i="9"/>
  <c r="L143" i="9"/>
  <c r="K143" i="9"/>
  <c r="J143" i="9"/>
  <c r="I143" i="9"/>
  <c r="H143" i="9"/>
  <c r="P143" i="9" s="1"/>
  <c r="G143" i="9"/>
  <c r="F143" i="9"/>
  <c r="E143" i="9"/>
  <c r="R140" i="9"/>
  <c r="Q140" i="9"/>
  <c r="P140" i="9"/>
  <c r="Q139" i="9"/>
  <c r="R139" i="9" s="1"/>
  <c r="P139" i="9"/>
  <c r="P133" i="9"/>
  <c r="Q133" i="9" s="1"/>
  <c r="R133" i="9" s="1"/>
  <c r="O126" i="9"/>
  <c r="N126" i="9"/>
  <c r="M126" i="9"/>
  <c r="L126" i="9"/>
  <c r="K126" i="9"/>
  <c r="J126" i="9"/>
  <c r="I126" i="9"/>
  <c r="H126" i="9"/>
  <c r="G126" i="9"/>
  <c r="F126" i="9"/>
  <c r="P116" i="9"/>
  <c r="Q116" i="9" s="1"/>
  <c r="R116" i="9" s="1"/>
  <c r="P113" i="9"/>
  <c r="E113" i="9"/>
  <c r="O109" i="9"/>
  <c r="N109" i="9"/>
  <c r="M109" i="9"/>
  <c r="L109" i="9"/>
  <c r="K109" i="9"/>
  <c r="J109" i="9"/>
  <c r="I109" i="9"/>
  <c r="H109" i="9"/>
  <c r="G109" i="9"/>
  <c r="F109" i="9"/>
  <c r="E109" i="9"/>
  <c r="Q96" i="9"/>
  <c r="R96" i="9" s="1"/>
  <c r="P96" i="9"/>
  <c r="O92" i="9"/>
  <c r="N92" i="9"/>
  <c r="M92" i="9"/>
  <c r="L92" i="9"/>
  <c r="K92" i="9"/>
  <c r="J92" i="9"/>
  <c r="I92" i="9"/>
  <c r="H92" i="9"/>
  <c r="G92" i="9"/>
  <c r="P92" i="9" s="1"/>
  <c r="F92" i="9"/>
  <c r="E92" i="9"/>
  <c r="P79" i="9"/>
  <c r="Q79" i="9" s="1"/>
  <c r="R79" i="9" s="1"/>
  <c r="O75" i="9"/>
  <c r="N75" i="9"/>
  <c r="M75" i="9"/>
  <c r="L75" i="9"/>
  <c r="K75" i="9"/>
  <c r="J75" i="9"/>
  <c r="I75" i="9"/>
  <c r="H75" i="9"/>
  <c r="G75" i="9"/>
  <c r="F75" i="9"/>
  <c r="P75" i="9" s="1"/>
  <c r="E75" i="9"/>
  <c r="P62" i="9"/>
  <c r="Q62" i="9" s="1"/>
  <c r="R62" i="9" s="1"/>
  <c r="O58" i="9"/>
  <c r="N58" i="9"/>
  <c r="M58" i="9"/>
  <c r="L58" i="9"/>
  <c r="K58" i="9"/>
  <c r="J58" i="9"/>
  <c r="I58" i="9"/>
  <c r="H58" i="9"/>
  <c r="G58" i="9"/>
  <c r="F58" i="9"/>
  <c r="E58" i="9"/>
  <c r="Q45" i="9"/>
  <c r="R45" i="9" s="1"/>
  <c r="P45" i="9"/>
  <c r="O41" i="9"/>
  <c r="N41" i="9"/>
  <c r="M41" i="9"/>
  <c r="L41" i="9"/>
  <c r="K41" i="9"/>
  <c r="J41" i="9"/>
  <c r="I41" i="9"/>
  <c r="H41" i="9"/>
  <c r="P41" i="9" s="1"/>
  <c r="G41" i="9"/>
  <c r="F41" i="9"/>
  <c r="E41" i="9"/>
  <c r="R28" i="9"/>
  <c r="Q28" i="9"/>
  <c r="P28" i="9"/>
  <c r="O24" i="9"/>
  <c r="N24" i="9"/>
  <c r="M24" i="9"/>
  <c r="L24" i="9"/>
  <c r="K24" i="9"/>
  <c r="J24" i="9"/>
  <c r="I24" i="9"/>
  <c r="H24" i="9"/>
  <c r="P24" i="9" s="1"/>
  <c r="Q24" i="9" s="1"/>
  <c r="R24" i="9" s="1"/>
  <c r="G24" i="9"/>
  <c r="F24" i="9"/>
  <c r="E24" i="9"/>
  <c r="R14" i="9"/>
  <c r="Q14" i="9"/>
  <c r="P14" i="9"/>
  <c r="Q11" i="9"/>
  <c r="R11" i="9" s="1"/>
  <c r="P11" i="9"/>
  <c r="C1" i="9"/>
  <c r="O602" i="8"/>
  <c r="N602" i="8"/>
  <c r="M602" i="8"/>
  <c r="L602" i="8"/>
  <c r="K602" i="8"/>
  <c r="J602" i="8"/>
  <c r="I602" i="8"/>
  <c r="H602" i="8"/>
  <c r="P602" i="8" s="1"/>
  <c r="G602" i="8"/>
  <c r="F602" i="8"/>
  <c r="E602" i="8"/>
  <c r="Q598" i="8"/>
  <c r="R598" i="8" s="1"/>
  <c r="P598" i="8"/>
  <c r="Q592" i="8"/>
  <c r="R592" i="8" s="1"/>
  <c r="P592" i="8"/>
  <c r="P587" i="8"/>
  <c r="Q587" i="8" s="1"/>
  <c r="R587" i="8" s="1"/>
  <c r="N585" i="8"/>
  <c r="M585" i="8"/>
  <c r="H585" i="8"/>
  <c r="F585" i="8"/>
  <c r="P581" i="8"/>
  <c r="Q581" i="8" s="1"/>
  <c r="R581" i="8" s="1"/>
  <c r="Q575" i="8"/>
  <c r="R575" i="8" s="1"/>
  <c r="P575" i="8"/>
  <c r="O570" i="8"/>
  <c r="O585" i="8" s="1"/>
  <c r="N570" i="8"/>
  <c r="M570" i="8"/>
  <c r="L570" i="8"/>
  <c r="K570" i="8"/>
  <c r="I119" i="10" s="1"/>
  <c r="J570" i="8"/>
  <c r="I570" i="8"/>
  <c r="G119" i="10" s="1"/>
  <c r="G128" i="10" s="1"/>
  <c r="H570" i="8"/>
  <c r="F119" i="10" s="1"/>
  <c r="F128" i="10" s="1"/>
  <c r="G570" i="8"/>
  <c r="E119" i="10" s="1"/>
  <c r="E128" i="10" s="1"/>
  <c r="F570" i="8"/>
  <c r="E570" i="8"/>
  <c r="O568" i="8"/>
  <c r="K568" i="8"/>
  <c r="J568" i="8"/>
  <c r="I568" i="8"/>
  <c r="H568" i="8"/>
  <c r="G568" i="8"/>
  <c r="P564" i="8"/>
  <c r="Q564" i="8" s="1"/>
  <c r="R564" i="8" s="1"/>
  <c r="Q560" i="8"/>
  <c r="R560" i="8" s="1"/>
  <c r="P560" i="8"/>
  <c r="O559" i="8"/>
  <c r="M123" i="10" s="1"/>
  <c r="N559" i="8"/>
  <c r="L123" i="10" s="1"/>
  <c r="M559" i="8"/>
  <c r="K123" i="10" s="1"/>
  <c r="L559" i="8"/>
  <c r="K559" i="8"/>
  <c r="O553" i="8"/>
  <c r="M119" i="10" s="1"/>
  <c r="M128" i="10" s="1"/>
  <c r="N553" i="8"/>
  <c r="M553" i="8"/>
  <c r="F553" i="8"/>
  <c r="E553" i="8"/>
  <c r="O551" i="8"/>
  <c r="N551" i="8"/>
  <c r="M551" i="8"/>
  <c r="L551" i="8"/>
  <c r="K551" i="8"/>
  <c r="J551" i="8"/>
  <c r="I551" i="8"/>
  <c r="H551" i="8"/>
  <c r="G551" i="8"/>
  <c r="F551" i="8"/>
  <c r="E551" i="8"/>
  <c r="R547" i="8"/>
  <c r="Q547" i="8"/>
  <c r="P547" i="8"/>
  <c r="P536" i="8"/>
  <c r="Q536" i="8" s="1"/>
  <c r="R536" i="8" s="1"/>
  <c r="O534" i="8"/>
  <c r="N534" i="8"/>
  <c r="M534" i="8"/>
  <c r="L534" i="8"/>
  <c r="K534" i="8"/>
  <c r="J534" i="8"/>
  <c r="I534" i="8"/>
  <c r="H534" i="8"/>
  <c r="G534" i="8"/>
  <c r="P534" i="8" s="1"/>
  <c r="F534" i="8"/>
  <c r="E534" i="8"/>
  <c r="Q530" i="8"/>
  <c r="R530" i="8" s="1"/>
  <c r="P530" i="8"/>
  <c r="P519" i="8"/>
  <c r="Q519" i="8" s="1"/>
  <c r="R519" i="8" s="1"/>
  <c r="O500" i="8"/>
  <c r="N500" i="8"/>
  <c r="M500" i="8"/>
  <c r="L500" i="8"/>
  <c r="K500" i="8"/>
  <c r="J500" i="8"/>
  <c r="I500" i="8"/>
  <c r="H500" i="8"/>
  <c r="G500" i="8"/>
  <c r="F500" i="8"/>
  <c r="E500" i="8"/>
  <c r="Q499" i="8"/>
  <c r="R499" i="8" s="1"/>
  <c r="P499" i="8"/>
  <c r="P498" i="8"/>
  <c r="Q498" i="8" s="1"/>
  <c r="R498" i="8" s="1"/>
  <c r="O483" i="8"/>
  <c r="N483" i="8"/>
  <c r="M483" i="8"/>
  <c r="L483" i="8"/>
  <c r="K483" i="8"/>
  <c r="J483" i="8"/>
  <c r="I483" i="8"/>
  <c r="H483" i="8"/>
  <c r="G483" i="8"/>
  <c r="P483" i="8" s="1"/>
  <c r="F483" i="8"/>
  <c r="E483" i="8"/>
  <c r="Q483" i="8" s="1"/>
  <c r="R483" i="8" s="1"/>
  <c r="Q480" i="8"/>
  <c r="R480" i="8" s="1"/>
  <c r="P480" i="8"/>
  <c r="H466" i="8"/>
  <c r="E466" i="8"/>
  <c r="R465" i="8"/>
  <c r="Q465" i="8"/>
  <c r="P465" i="8"/>
  <c r="Q463" i="8"/>
  <c r="R463" i="8" s="1"/>
  <c r="P463" i="8"/>
  <c r="P462" i="8"/>
  <c r="Q462" i="8" s="1"/>
  <c r="R462" i="8" s="1"/>
  <c r="R455" i="8"/>
  <c r="P455" i="8"/>
  <c r="Q455" i="8" s="1"/>
  <c r="O453" i="8"/>
  <c r="O466" i="8" s="1"/>
  <c r="N453" i="8"/>
  <c r="M453" i="8"/>
  <c r="L453" i="8"/>
  <c r="K453" i="8"/>
  <c r="K466" i="8" s="1"/>
  <c r="J453" i="8"/>
  <c r="I453" i="8"/>
  <c r="H453" i="8"/>
  <c r="G453" i="8"/>
  <c r="F453" i="8"/>
  <c r="R451" i="8"/>
  <c r="P451" i="8"/>
  <c r="Q451" i="8" s="1"/>
  <c r="N450" i="8"/>
  <c r="N466" i="8" s="1"/>
  <c r="M450" i="8"/>
  <c r="L450" i="8"/>
  <c r="L466" i="8" s="1"/>
  <c r="K450" i="8"/>
  <c r="J450" i="8"/>
  <c r="I450" i="8"/>
  <c r="I466" i="8" s="1"/>
  <c r="H450" i="8"/>
  <c r="G450" i="8"/>
  <c r="G466" i="8" s="1"/>
  <c r="F450" i="8"/>
  <c r="F466" i="8" s="1"/>
  <c r="O449" i="8"/>
  <c r="N449" i="8"/>
  <c r="M449" i="8"/>
  <c r="L449" i="8"/>
  <c r="K449" i="8"/>
  <c r="J449" i="8"/>
  <c r="I449" i="8"/>
  <c r="H449" i="8"/>
  <c r="G449" i="8"/>
  <c r="F449" i="8"/>
  <c r="E449" i="8"/>
  <c r="P445" i="8"/>
  <c r="Q445" i="8" s="1"/>
  <c r="R445" i="8" s="1"/>
  <c r="R440" i="8"/>
  <c r="P440" i="8"/>
  <c r="Q440" i="8" s="1"/>
  <c r="R439" i="8"/>
  <c r="P439" i="8"/>
  <c r="Q439" i="8" s="1"/>
  <c r="Q433" i="8"/>
  <c r="R433" i="8" s="1"/>
  <c r="P433" i="8"/>
  <c r="O432" i="8"/>
  <c r="N432" i="8"/>
  <c r="M432" i="8"/>
  <c r="L432" i="8"/>
  <c r="K432" i="8"/>
  <c r="J432" i="8"/>
  <c r="I432" i="8"/>
  <c r="H432" i="8"/>
  <c r="P432" i="8" s="1"/>
  <c r="Q432" i="8" s="1"/>
  <c r="R432" i="8" s="1"/>
  <c r="G432" i="8"/>
  <c r="F432" i="8"/>
  <c r="E432" i="8"/>
  <c r="Q428" i="8"/>
  <c r="R428" i="8" s="1"/>
  <c r="P428" i="8"/>
  <c r="R421" i="8"/>
  <c r="Q421" i="8"/>
  <c r="P421" i="8"/>
  <c r="O415" i="8"/>
  <c r="N415" i="8"/>
  <c r="M415" i="8"/>
  <c r="L415" i="8"/>
  <c r="K415" i="8"/>
  <c r="J415" i="8"/>
  <c r="I415" i="8"/>
  <c r="H415" i="8"/>
  <c r="P415" i="8" s="1"/>
  <c r="G415" i="8"/>
  <c r="F415" i="8"/>
  <c r="E415" i="8"/>
  <c r="P414" i="8"/>
  <c r="Q414" i="8" s="1"/>
  <c r="R414" i="8" s="1"/>
  <c r="P412" i="8"/>
  <c r="Q412" i="8" s="1"/>
  <c r="R412" i="8" s="1"/>
  <c r="Q404" i="8"/>
  <c r="R404" i="8" s="1"/>
  <c r="P404" i="8"/>
  <c r="O398" i="8"/>
  <c r="N398" i="8"/>
  <c r="M398" i="8"/>
  <c r="L398" i="8"/>
  <c r="K398" i="8"/>
  <c r="J398" i="8"/>
  <c r="I398" i="8"/>
  <c r="H398" i="8"/>
  <c r="G398" i="8"/>
  <c r="F398" i="8"/>
  <c r="E398" i="8"/>
  <c r="R394" i="8"/>
  <c r="Q394" i="8"/>
  <c r="P394" i="8"/>
  <c r="P387" i="8"/>
  <c r="Q387" i="8" s="1"/>
  <c r="R387" i="8" s="1"/>
  <c r="O381" i="8"/>
  <c r="N381" i="8"/>
  <c r="M381" i="8"/>
  <c r="L381" i="8"/>
  <c r="K381" i="8"/>
  <c r="J381" i="8"/>
  <c r="I381" i="8"/>
  <c r="H381" i="8"/>
  <c r="G381" i="8"/>
  <c r="F381" i="8"/>
  <c r="E381" i="8"/>
  <c r="P377" i="8"/>
  <c r="Q377" i="8" s="1"/>
  <c r="R377" i="8" s="1"/>
  <c r="Q372" i="8"/>
  <c r="R372" i="8" s="1"/>
  <c r="P372" i="8"/>
  <c r="P371" i="8"/>
  <c r="Q371" i="8" s="1"/>
  <c r="R371" i="8" s="1"/>
  <c r="R370" i="8"/>
  <c r="Q370" i="8"/>
  <c r="P370" i="8"/>
  <c r="O364" i="8"/>
  <c r="N364" i="8"/>
  <c r="M364" i="8"/>
  <c r="L364" i="8"/>
  <c r="K364" i="8"/>
  <c r="J364" i="8"/>
  <c r="I364" i="8"/>
  <c r="H364" i="8"/>
  <c r="G364" i="8"/>
  <c r="F364" i="8"/>
  <c r="E364" i="8"/>
  <c r="R360" i="8"/>
  <c r="P360" i="8"/>
  <c r="Q360" i="8" s="1"/>
  <c r="R356" i="8"/>
  <c r="P356" i="8"/>
  <c r="Q356" i="8" s="1"/>
  <c r="Q355" i="8"/>
  <c r="R355" i="8" s="1"/>
  <c r="P355" i="8"/>
  <c r="P354" i="8"/>
  <c r="Q354" i="8" s="1"/>
  <c r="R354" i="8" s="1"/>
  <c r="E354" i="8"/>
  <c r="Q353" i="8"/>
  <c r="R353" i="8" s="1"/>
  <c r="P353" i="8"/>
  <c r="O347" i="8"/>
  <c r="N347" i="8"/>
  <c r="M347" i="8"/>
  <c r="L347" i="8"/>
  <c r="K347" i="8"/>
  <c r="J347" i="8"/>
  <c r="I347" i="8"/>
  <c r="H347" i="8"/>
  <c r="P347" i="8" s="1"/>
  <c r="G347" i="8"/>
  <c r="F347" i="8"/>
  <c r="E347" i="8"/>
  <c r="Q332" i="8"/>
  <c r="R332" i="8" s="1"/>
  <c r="P332" i="8"/>
  <c r="O330" i="8"/>
  <c r="N330" i="8"/>
  <c r="M330" i="8"/>
  <c r="L330" i="8"/>
  <c r="K330" i="8"/>
  <c r="J330" i="8"/>
  <c r="I330" i="8"/>
  <c r="H330" i="8"/>
  <c r="P330" i="8" s="1"/>
  <c r="Q330" i="8" s="1"/>
  <c r="R330" i="8" s="1"/>
  <c r="G330" i="8"/>
  <c r="F330" i="8"/>
  <c r="E330" i="8"/>
  <c r="Q320" i="8"/>
  <c r="R320" i="8" s="1"/>
  <c r="P320" i="8"/>
  <c r="R315" i="8"/>
  <c r="Q315" i="8"/>
  <c r="P315" i="8"/>
  <c r="O313" i="8"/>
  <c r="N313" i="8"/>
  <c r="M313" i="8"/>
  <c r="L313" i="8"/>
  <c r="K313" i="8"/>
  <c r="J313" i="8"/>
  <c r="I313" i="8"/>
  <c r="H313" i="8"/>
  <c r="G313" i="8"/>
  <c r="F313" i="8"/>
  <c r="E313" i="8"/>
  <c r="R303" i="8"/>
  <c r="P303" i="8"/>
  <c r="Q303" i="8" s="1"/>
  <c r="P298" i="8"/>
  <c r="Q298" i="8" s="1"/>
  <c r="R298" i="8" s="1"/>
  <c r="O296" i="8"/>
  <c r="N296" i="8"/>
  <c r="M296" i="8"/>
  <c r="L296" i="8"/>
  <c r="K296" i="8"/>
  <c r="J296" i="8"/>
  <c r="I296" i="8"/>
  <c r="H296" i="8"/>
  <c r="P296" i="8" s="1"/>
  <c r="G296" i="8"/>
  <c r="F296" i="8"/>
  <c r="E296" i="8"/>
  <c r="R285" i="8"/>
  <c r="Q285" i="8"/>
  <c r="P285" i="8"/>
  <c r="Q281" i="8"/>
  <c r="R281" i="8" s="1"/>
  <c r="P281" i="8"/>
  <c r="P280" i="8"/>
  <c r="Q280" i="8" s="1"/>
  <c r="R280" i="8" s="1"/>
  <c r="O279" i="8"/>
  <c r="N279" i="8"/>
  <c r="M279" i="8"/>
  <c r="L279" i="8"/>
  <c r="K279" i="8"/>
  <c r="J279" i="8"/>
  <c r="I279" i="8"/>
  <c r="H279" i="8"/>
  <c r="G279" i="8"/>
  <c r="F279" i="8"/>
  <c r="P275" i="8"/>
  <c r="Q275" i="8" s="1"/>
  <c r="R275" i="8" s="1"/>
  <c r="Q266" i="8"/>
  <c r="R266" i="8" s="1"/>
  <c r="P266" i="8"/>
  <c r="P264" i="8"/>
  <c r="Q264" i="8" s="1"/>
  <c r="R264" i="8" s="1"/>
  <c r="R263" i="8"/>
  <c r="Q263" i="8"/>
  <c r="P263" i="8"/>
  <c r="E263" i="8"/>
  <c r="O262" i="8"/>
  <c r="N262" i="8"/>
  <c r="M262" i="8"/>
  <c r="L262" i="8"/>
  <c r="K262" i="8"/>
  <c r="J262" i="8"/>
  <c r="I262" i="8"/>
  <c r="H262" i="8"/>
  <c r="G262" i="8"/>
  <c r="F262" i="8"/>
  <c r="E262" i="8"/>
  <c r="Q258" i="8"/>
  <c r="R258" i="8" s="1"/>
  <c r="P258" i="8"/>
  <c r="P253" i="8"/>
  <c r="Q253" i="8" s="1"/>
  <c r="R253" i="8" s="1"/>
  <c r="Q252" i="8"/>
  <c r="R252" i="8" s="1"/>
  <c r="P252" i="8"/>
  <c r="R250" i="8"/>
  <c r="Q250" i="8"/>
  <c r="P250" i="8"/>
  <c r="P247" i="8"/>
  <c r="Q247" i="8" s="1"/>
  <c r="R247" i="8" s="1"/>
  <c r="O246" i="8"/>
  <c r="N246" i="8"/>
  <c r="M246" i="8"/>
  <c r="L246" i="8"/>
  <c r="K246" i="8"/>
  <c r="J246" i="8"/>
  <c r="I246" i="8"/>
  <c r="H246" i="8"/>
  <c r="P246" i="8" s="1"/>
  <c r="G246" i="8"/>
  <c r="F246" i="8"/>
  <c r="E246" i="8"/>
  <c r="P242" i="8"/>
  <c r="Q242" i="8" s="1"/>
  <c r="R242" i="8" s="1"/>
  <c r="P237" i="8"/>
  <c r="Q237" i="8" s="1"/>
  <c r="R237" i="8" s="1"/>
  <c r="P236" i="8"/>
  <c r="Q236" i="8" s="1"/>
  <c r="R236" i="8" s="1"/>
  <c r="R233" i="8"/>
  <c r="Q233" i="8"/>
  <c r="P233" i="8"/>
  <c r="Q230" i="8"/>
  <c r="R230" i="8" s="1"/>
  <c r="P230" i="8"/>
  <c r="O229" i="8"/>
  <c r="N229" i="8"/>
  <c r="M229" i="8"/>
  <c r="L229" i="8"/>
  <c r="K229" i="8"/>
  <c r="J229" i="8"/>
  <c r="I229" i="8"/>
  <c r="H229" i="8"/>
  <c r="P229" i="8" s="1"/>
  <c r="Q229" i="8" s="1"/>
  <c r="R229" i="8" s="1"/>
  <c r="G229" i="8"/>
  <c r="F229" i="8"/>
  <c r="E229" i="8"/>
  <c r="P225" i="8"/>
  <c r="Q225" i="8" s="1"/>
  <c r="R225" i="8" s="1"/>
  <c r="Q216" i="8"/>
  <c r="R216" i="8" s="1"/>
  <c r="P216" i="8"/>
  <c r="O212" i="8"/>
  <c r="N212" i="8"/>
  <c r="M212" i="8"/>
  <c r="L212" i="8"/>
  <c r="K212" i="8"/>
  <c r="J212" i="8"/>
  <c r="I212" i="8"/>
  <c r="H212" i="8"/>
  <c r="P212" i="8" s="1"/>
  <c r="G212" i="8"/>
  <c r="F212" i="8"/>
  <c r="E212" i="8"/>
  <c r="Q208" i="8"/>
  <c r="R208" i="8" s="1"/>
  <c r="P208" i="8"/>
  <c r="R203" i="8"/>
  <c r="Q203" i="8"/>
  <c r="P203" i="8"/>
  <c r="P202" i="8"/>
  <c r="Q202" i="8" s="1"/>
  <c r="R202" i="8" s="1"/>
  <c r="P201" i="8"/>
  <c r="Q201" i="8" s="1"/>
  <c r="R201" i="8" s="1"/>
  <c r="R199" i="8"/>
  <c r="P199" i="8"/>
  <c r="E199" i="8"/>
  <c r="Q199" i="8" s="1"/>
  <c r="R196" i="8"/>
  <c r="Q196" i="8"/>
  <c r="P196" i="8"/>
  <c r="O195" i="8"/>
  <c r="N195" i="8"/>
  <c r="M195" i="8"/>
  <c r="L195" i="8"/>
  <c r="K195" i="8"/>
  <c r="J195" i="8"/>
  <c r="I195" i="8"/>
  <c r="H195" i="8"/>
  <c r="G195" i="8"/>
  <c r="F191" i="8"/>
  <c r="D102" i="10" s="1"/>
  <c r="N102" i="10" s="1"/>
  <c r="P185" i="8"/>
  <c r="Q185" i="8" s="1"/>
  <c r="R185" i="8" s="1"/>
  <c r="R182" i="8"/>
  <c r="Q182" i="8"/>
  <c r="F182" i="8"/>
  <c r="P182" i="8" s="1"/>
  <c r="E182" i="8"/>
  <c r="E195" i="8" s="1"/>
  <c r="O178" i="8"/>
  <c r="N178" i="8"/>
  <c r="M178" i="8"/>
  <c r="L178" i="8"/>
  <c r="K178" i="8"/>
  <c r="J178" i="8"/>
  <c r="I178" i="8"/>
  <c r="H178" i="8"/>
  <c r="O165" i="8"/>
  <c r="M99" i="10" s="1"/>
  <c r="N165" i="8"/>
  <c r="L99" i="10" s="1"/>
  <c r="H165" i="8"/>
  <c r="G165" i="8"/>
  <c r="G178" i="8" s="1"/>
  <c r="E165" i="8"/>
  <c r="O161" i="8"/>
  <c r="N161" i="8"/>
  <c r="M161" i="8"/>
  <c r="L161" i="8"/>
  <c r="K161" i="8"/>
  <c r="J161" i="8"/>
  <c r="I161" i="8"/>
  <c r="H161" i="8"/>
  <c r="G161" i="8"/>
  <c r="F161" i="8"/>
  <c r="P161" i="8" s="1"/>
  <c r="E161" i="8"/>
  <c r="H148" i="8"/>
  <c r="G148" i="8"/>
  <c r="F148" i="8"/>
  <c r="O144" i="8"/>
  <c r="N144" i="8"/>
  <c r="M144" i="8"/>
  <c r="L144" i="8"/>
  <c r="K144" i="8"/>
  <c r="J144" i="8"/>
  <c r="I144" i="8"/>
  <c r="H144" i="8"/>
  <c r="G144" i="8"/>
  <c r="F144" i="8"/>
  <c r="E144" i="8"/>
  <c r="Q129" i="8"/>
  <c r="R129" i="8" s="1"/>
  <c r="P129" i="8"/>
  <c r="O127" i="8"/>
  <c r="M127" i="8"/>
  <c r="L127" i="8"/>
  <c r="G127" i="8"/>
  <c r="O123" i="8"/>
  <c r="M91" i="10" s="1"/>
  <c r="N123" i="8"/>
  <c r="L91" i="10" s="1"/>
  <c r="M123" i="8"/>
  <c r="K91" i="10" s="1"/>
  <c r="L123" i="8"/>
  <c r="J91" i="10" s="1"/>
  <c r="K123" i="8"/>
  <c r="J123" i="8"/>
  <c r="I123" i="8"/>
  <c r="G91" i="10" s="1"/>
  <c r="H123" i="8"/>
  <c r="F91" i="10" s="1"/>
  <c r="G123" i="8"/>
  <c r="F123" i="8"/>
  <c r="D91" i="10" s="1"/>
  <c r="P117" i="8"/>
  <c r="Q117" i="8" s="1"/>
  <c r="R117" i="8" s="1"/>
  <c r="O116" i="8"/>
  <c r="M89" i="10" s="1"/>
  <c r="N116" i="8"/>
  <c r="M116" i="8"/>
  <c r="K89" i="10" s="1"/>
  <c r="L116" i="8"/>
  <c r="J89" i="10" s="1"/>
  <c r="K116" i="8"/>
  <c r="K127" i="8" s="1"/>
  <c r="J116" i="8"/>
  <c r="H89" i="10" s="1"/>
  <c r="I116" i="8"/>
  <c r="H116" i="8"/>
  <c r="G116" i="8"/>
  <c r="E89" i="10" s="1"/>
  <c r="F116" i="8"/>
  <c r="P111" i="8"/>
  <c r="Q111" i="8" s="1"/>
  <c r="R111" i="8" s="1"/>
  <c r="E111" i="8"/>
  <c r="C85" i="10" s="1"/>
  <c r="O110" i="8"/>
  <c r="N110" i="8"/>
  <c r="M110" i="8"/>
  <c r="L110" i="8"/>
  <c r="K110" i="8"/>
  <c r="J110" i="8"/>
  <c r="I110" i="8"/>
  <c r="H110" i="8"/>
  <c r="G110" i="8"/>
  <c r="F110" i="8"/>
  <c r="E110" i="8"/>
  <c r="P94" i="8"/>
  <c r="Q94" i="8" s="1"/>
  <c r="R94" i="8" s="1"/>
  <c r="O93" i="8"/>
  <c r="N93" i="8"/>
  <c r="M93" i="8"/>
  <c r="L93" i="8"/>
  <c r="K93" i="8"/>
  <c r="J93" i="8"/>
  <c r="I93" i="8"/>
  <c r="H93" i="8"/>
  <c r="E93" i="8"/>
  <c r="P92" i="8"/>
  <c r="Q92" i="8" s="1"/>
  <c r="R92" i="8" s="1"/>
  <c r="P89" i="8"/>
  <c r="Q89" i="8" s="1"/>
  <c r="R89" i="8" s="1"/>
  <c r="G84" i="8"/>
  <c r="G93" i="8" s="1"/>
  <c r="F84" i="8"/>
  <c r="P83" i="8"/>
  <c r="Q83" i="8" s="1"/>
  <c r="R83" i="8" s="1"/>
  <c r="O76" i="8"/>
  <c r="N76" i="8"/>
  <c r="M76" i="8"/>
  <c r="L76" i="8"/>
  <c r="K76" i="8"/>
  <c r="J76" i="8"/>
  <c r="I76" i="8"/>
  <c r="H76" i="8"/>
  <c r="G76" i="8"/>
  <c r="F76" i="8"/>
  <c r="E76" i="8"/>
  <c r="Q62" i="8"/>
  <c r="R62" i="8" s="1"/>
  <c r="P62" i="8"/>
  <c r="O59" i="8"/>
  <c r="N59" i="8"/>
  <c r="M59" i="8"/>
  <c r="L59" i="8"/>
  <c r="K59" i="8"/>
  <c r="J59" i="8"/>
  <c r="I59" i="8"/>
  <c r="H59" i="8"/>
  <c r="P59" i="8" s="1"/>
  <c r="G59" i="8"/>
  <c r="F59" i="8"/>
  <c r="E59" i="8"/>
  <c r="Q59" i="8" s="1"/>
  <c r="R59" i="8" s="1"/>
  <c r="P45" i="8"/>
  <c r="Q45" i="8" s="1"/>
  <c r="R45" i="8" s="1"/>
  <c r="O42" i="8"/>
  <c r="N42" i="8"/>
  <c r="M42" i="8"/>
  <c r="L42" i="8"/>
  <c r="K42" i="8"/>
  <c r="J42" i="8"/>
  <c r="I42" i="8"/>
  <c r="H42" i="8"/>
  <c r="P42" i="8" s="1"/>
  <c r="Q42" i="8" s="1"/>
  <c r="R42" i="8" s="1"/>
  <c r="G42" i="8"/>
  <c r="F42" i="8"/>
  <c r="E42" i="8"/>
  <c r="Q41" i="8"/>
  <c r="R41" i="8" s="1"/>
  <c r="P41" i="8"/>
  <c r="R39" i="8"/>
  <c r="Q39" i="8"/>
  <c r="P39" i="8"/>
  <c r="Q38" i="8"/>
  <c r="R38" i="8" s="1"/>
  <c r="P38" i="8"/>
  <c r="P34" i="8"/>
  <c r="Q34" i="8" s="1"/>
  <c r="R34" i="8" s="1"/>
  <c r="R33" i="8"/>
  <c r="Q33" i="8"/>
  <c r="P33" i="8"/>
  <c r="P31" i="8"/>
  <c r="Q31" i="8" s="1"/>
  <c r="R31" i="8" s="1"/>
  <c r="Q27" i="8"/>
  <c r="R27" i="8" s="1"/>
  <c r="P27" i="8"/>
  <c r="E27" i="8"/>
  <c r="O24" i="8"/>
  <c r="M24" i="8"/>
  <c r="L24" i="8"/>
  <c r="J24" i="8"/>
  <c r="G24" i="8"/>
  <c r="E24" i="8"/>
  <c r="O10" i="8"/>
  <c r="N10" i="8"/>
  <c r="N24" i="8" s="1"/>
  <c r="K10" i="8"/>
  <c r="K24" i="8" s="1"/>
  <c r="J10" i="8"/>
  <c r="I10" i="8"/>
  <c r="I24" i="8" s="1"/>
  <c r="H10" i="8"/>
  <c r="H24" i="8" s="1"/>
  <c r="G10" i="8"/>
  <c r="F10" i="8"/>
  <c r="C1" i="8"/>
  <c r="F1858" i="7"/>
  <c r="O1851" i="7"/>
  <c r="N1851" i="7"/>
  <c r="M1851" i="7"/>
  <c r="L1851" i="7"/>
  <c r="K1851" i="7"/>
  <c r="J1851" i="7"/>
  <c r="I1851" i="7"/>
  <c r="H1851" i="7"/>
  <c r="P1851" i="7" s="1"/>
  <c r="Q1851" i="7" s="1"/>
  <c r="R1851" i="7" s="1"/>
  <c r="G1851" i="7"/>
  <c r="F1851" i="7"/>
  <c r="E1851" i="7"/>
  <c r="Q1848" i="7"/>
  <c r="R1848" i="7" s="1"/>
  <c r="P1848" i="7"/>
  <c r="Q1847" i="7"/>
  <c r="R1847" i="7" s="1"/>
  <c r="P1847" i="7"/>
  <c r="Q1841" i="7"/>
  <c r="R1841" i="7" s="1"/>
  <c r="P1841" i="7"/>
  <c r="R1836" i="7"/>
  <c r="P1836" i="7"/>
  <c r="Q1836" i="7" s="1"/>
  <c r="O1834" i="7"/>
  <c r="N1834" i="7"/>
  <c r="M1834" i="7"/>
  <c r="L1834" i="7"/>
  <c r="K1834" i="7"/>
  <c r="J1834" i="7"/>
  <c r="I1834" i="7"/>
  <c r="H1834" i="7"/>
  <c r="G1834" i="7"/>
  <c r="F1834" i="7"/>
  <c r="E1834" i="7"/>
  <c r="Q1831" i="7"/>
  <c r="R1831" i="7" s="1"/>
  <c r="P1831" i="7"/>
  <c r="P1830" i="7"/>
  <c r="Q1830" i="7" s="1"/>
  <c r="R1830" i="7" s="1"/>
  <c r="Q1824" i="7"/>
  <c r="R1824" i="7" s="1"/>
  <c r="P1824" i="7"/>
  <c r="Q1819" i="7"/>
  <c r="R1819" i="7" s="1"/>
  <c r="P1819" i="7"/>
  <c r="Q1818" i="7"/>
  <c r="R1818" i="7" s="1"/>
  <c r="P1818" i="7"/>
  <c r="O1817" i="7"/>
  <c r="N1817" i="7"/>
  <c r="M1817" i="7"/>
  <c r="L1817" i="7"/>
  <c r="K1817" i="7"/>
  <c r="J1817" i="7"/>
  <c r="I1817" i="7"/>
  <c r="H1817" i="7"/>
  <c r="G1817" i="7"/>
  <c r="F1817" i="7"/>
  <c r="P1814" i="7"/>
  <c r="Q1814" i="7" s="1"/>
  <c r="R1814" i="7" s="1"/>
  <c r="P1813" i="7"/>
  <c r="Q1813" i="7" s="1"/>
  <c r="R1813" i="7" s="1"/>
  <c r="P1808" i="7"/>
  <c r="Q1808" i="7" s="1"/>
  <c r="R1808" i="7" s="1"/>
  <c r="Q1807" i="7"/>
  <c r="R1807" i="7" s="1"/>
  <c r="P1807" i="7"/>
  <c r="R1806" i="7"/>
  <c r="Q1806" i="7"/>
  <c r="P1806" i="7"/>
  <c r="Q1804" i="7"/>
  <c r="R1804" i="7" s="1"/>
  <c r="P1804" i="7"/>
  <c r="P1802" i="7"/>
  <c r="E1802" i="7"/>
  <c r="O1800" i="7"/>
  <c r="N1800" i="7"/>
  <c r="M1800" i="7"/>
  <c r="L1800" i="7"/>
  <c r="K1800" i="7"/>
  <c r="J1800" i="7"/>
  <c r="I1800" i="7"/>
  <c r="H1800" i="7"/>
  <c r="G1800" i="7"/>
  <c r="F1800" i="7"/>
  <c r="E1800" i="7"/>
  <c r="Q1797" i="7"/>
  <c r="R1797" i="7" s="1"/>
  <c r="P1797" i="7"/>
  <c r="Q1796" i="7"/>
  <c r="R1796" i="7" s="1"/>
  <c r="P1796" i="7"/>
  <c r="R1791" i="7"/>
  <c r="P1791" i="7"/>
  <c r="Q1791" i="7" s="1"/>
  <c r="R1790" i="7"/>
  <c r="Q1790" i="7"/>
  <c r="P1790" i="7"/>
  <c r="P1786" i="7"/>
  <c r="Q1786" i="7" s="1"/>
  <c r="R1786" i="7" s="1"/>
  <c r="O1783" i="7"/>
  <c r="N1783" i="7"/>
  <c r="M1783" i="7"/>
  <c r="L1783" i="7"/>
  <c r="K1783" i="7"/>
  <c r="J1783" i="7"/>
  <c r="I1783" i="7"/>
  <c r="H1783" i="7"/>
  <c r="P1783" i="7" s="1"/>
  <c r="Q1783" i="7" s="1"/>
  <c r="R1783" i="7" s="1"/>
  <c r="G1783" i="7"/>
  <c r="F1783" i="7"/>
  <c r="E1783" i="7"/>
  <c r="Q1781" i="7"/>
  <c r="R1781" i="7" s="1"/>
  <c r="P1781" i="7"/>
  <c r="R1780" i="7"/>
  <c r="Q1780" i="7"/>
  <c r="P1780" i="7"/>
  <c r="Q1779" i="7"/>
  <c r="R1779" i="7" s="1"/>
  <c r="P1779" i="7"/>
  <c r="R1773" i="7"/>
  <c r="P1773" i="7"/>
  <c r="Q1773" i="7" s="1"/>
  <c r="R1769" i="7"/>
  <c r="Q1769" i="7"/>
  <c r="P1769" i="7"/>
  <c r="O1766" i="7"/>
  <c r="N1766" i="7"/>
  <c r="M1766" i="7"/>
  <c r="L1766" i="7"/>
  <c r="K1766" i="7"/>
  <c r="J1766" i="7"/>
  <c r="I1766" i="7"/>
  <c r="H1766" i="7"/>
  <c r="G1766" i="7"/>
  <c r="F1766" i="7"/>
  <c r="P1766" i="7" s="1"/>
  <c r="E1766" i="7"/>
  <c r="P1762" i="7"/>
  <c r="Q1762" i="7" s="1"/>
  <c r="R1762" i="7" s="1"/>
  <c r="Q1757" i="7"/>
  <c r="R1757" i="7" s="1"/>
  <c r="P1757" i="7"/>
  <c r="R1756" i="7"/>
  <c r="Q1756" i="7"/>
  <c r="P1756" i="7"/>
  <c r="Q1755" i="7"/>
  <c r="R1755" i="7" s="1"/>
  <c r="P1755" i="7"/>
  <c r="P1750" i="7"/>
  <c r="Q1750" i="7" s="1"/>
  <c r="R1750" i="7" s="1"/>
  <c r="O1749" i="7"/>
  <c r="N1749" i="7"/>
  <c r="M1749" i="7"/>
  <c r="L1749" i="7"/>
  <c r="K1749" i="7"/>
  <c r="J1749" i="7"/>
  <c r="I1749" i="7"/>
  <c r="H1749" i="7"/>
  <c r="G1749" i="7"/>
  <c r="F1749" i="7"/>
  <c r="E1749" i="7"/>
  <c r="P1748" i="7"/>
  <c r="Q1748" i="7" s="1"/>
  <c r="R1748" i="7" s="1"/>
  <c r="P1745" i="7"/>
  <c r="Q1745" i="7" s="1"/>
  <c r="R1745" i="7" s="1"/>
  <c r="Q1738" i="7"/>
  <c r="R1738" i="7" s="1"/>
  <c r="P1738" i="7"/>
  <c r="E1732" i="7"/>
  <c r="O1715" i="7"/>
  <c r="N1715" i="7"/>
  <c r="M1715" i="7"/>
  <c r="L1715" i="7"/>
  <c r="K1715" i="7"/>
  <c r="J1715" i="7"/>
  <c r="I1715" i="7"/>
  <c r="H1715" i="7"/>
  <c r="G1715" i="7"/>
  <c r="F1715" i="7"/>
  <c r="E1715" i="7"/>
  <c r="P1711" i="7"/>
  <c r="Q1711" i="7" s="1"/>
  <c r="R1711" i="7" s="1"/>
  <c r="P1704" i="7"/>
  <c r="Q1704" i="7" s="1"/>
  <c r="R1704" i="7" s="1"/>
  <c r="O1698" i="7"/>
  <c r="N1698" i="7"/>
  <c r="M1698" i="7"/>
  <c r="L1698" i="7"/>
  <c r="K1698" i="7"/>
  <c r="J1698" i="7"/>
  <c r="I1698" i="7"/>
  <c r="H1698" i="7"/>
  <c r="G1698" i="7"/>
  <c r="F1698" i="7"/>
  <c r="E1698" i="7"/>
  <c r="Q1695" i="7"/>
  <c r="R1695" i="7" s="1"/>
  <c r="P1695" i="7"/>
  <c r="P1694" i="7"/>
  <c r="Q1694" i="7" s="1"/>
  <c r="R1694" i="7" s="1"/>
  <c r="R1687" i="7"/>
  <c r="Q1687" i="7"/>
  <c r="P1687" i="7"/>
  <c r="O1681" i="7"/>
  <c r="N1681" i="7"/>
  <c r="M1681" i="7"/>
  <c r="L1681" i="7"/>
  <c r="K1681" i="7"/>
  <c r="J1681" i="7"/>
  <c r="I1681" i="7"/>
  <c r="H1681" i="7"/>
  <c r="P1681" i="7" s="1"/>
  <c r="G1681" i="7"/>
  <c r="F1681" i="7"/>
  <c r="E1681" i="7"/>
  <c r="P1677" i="7"/>
  <c r="Q1677" i="7" s="1"/>
  <c r="R1677" i="7" s="1"/>
  <c r="Q1666" i="7"/>
  <c r="R1666" i="7" s="1"/>
  <c r="P1666" i="7"/>
  <c r="O1664" i="7"/>
  <c r="N1664" i="7"/>
  <c r="M1664" i="7"/>
  <c r="L1664" i="7"/>
  <c r="K1664" i="7"/>
  <c r="J1664" i="7"/>
  <c r="I1664" i="7"/>
  <c r="H1664" i="7"/>
  <c r="G1664" i="7"/>
  <c r="F1664" i="7"/>
  <c r="R1663" i="7"/>
  <c r="P1663" i="7"/>
  <c r="Q1663" i="7" s="1"/>
  <c r="R1662" i="7"/>
  <c r="Q1662" i="7"/>
  <c r="P1662" i="7"/>
  <c r="P1660" i="7"/>
  <c r="Q1660" i="7" s="1"/>
  <c r="R1660" i="7" s="1"/>
  <c r="P1651" i="7"/>
  <c r="Q1651" i="7" s="1"/>
  <c r="R1651" i="7" s="1"/>
  <c r="E1651" i="7"/>
  <c r="Q1649" i="7"/>
  <c r="R1649" i="7" s="1"/>
  <c r="P1649" i="7"/>
  <c r="E1649" i="7"/>
  <c r="E1664" i="7" s="1"/>
  <c r="P1646" i="7"/>
  <c r="Q1646" i="7" s="1"/>
  <c r="R1646" i="7" s="1"/>
  <c r="N1645" i="7"/>
  <c r="L1645" i="7"/>
  <c r="K1645" i="7"/>
  <c r="J1645" i="7"/>
  <c r="I1645" i="7"/>
  <c r="F1645" i="7"/>
  <c r="E1645" i="7"/>
  <c r="Q1642" i="7"/>
  <c r="R1642" i="7" s="1"/>
  <c r="P1642" i="7"/>
  <c r="Q1641" i="7"/>
  <c r="R1641" i="7" s="1"/>
  <c r="P1641" i="7"/>
  <c r="P1637" i="7"/>
  <c r="Q1637" i="7" s="1"/>
  <c r="R1637" i="7" s="1"/>
  <c r="R1636" i="7"/>
  <c r="Q1636" i="7"/>
  <c r="P1636" i="7"/>
  <c r="R1635" i="7"/>
  <c r="P1635" i="7"/>
  <c r="Q1635" i="7" s="1"/>
  <c r="Q1634" i="7"/>
  <c r="R1634" i="7" s="1"/>
  <c r="P1634" i="7"/>
  <c r="O1633" i="7"/>
  <c r="O1645" i="7" s="1"/>
  <c r="N1633" i="7"/>
  <c r="M1633" i="7"/>
  <c r="M1645" i="7" s="1"/>
  <c r="H1633" i="7"/>
  <c r="H1645" i="7" s="1"/>
  <c r="G1633" i="7"/>
  <c r="G1645" i="7" s="1"/>
  <c r="P1631" i="7"/>
  <c r="Q1631" i="7" s="1"/>
  <c r="R1631" i="7" s="1"/>
  <c r="Q1628" i="7"/>
  <c r="R1628" i="7" s="1"/>
  <c r="P1628" i="7"/>
  <c r="Q1627" i="7"/>
  <c r="R1627" i="7" s="1"/>
  <c r="P1627" i="7"/>
  <c r="O1626" i="7"/>
  <c r="N1626" i="7"/>
  <c r="M1626" i="7"/>
  <c r="L1626" i="7"/>
  <c r="K1626" i="7"/>
  <c r="J1626" i="7"/>
  <c r="I1626" i="7"/>
  <c r="H1626" i="7"/>
  <c r="G1626" i="7"/>
  <c r="F1626" i="7"/>
  <c r="E1626" i="7"/>
  <c r="R1622" i="7"/>
  <c r="Q1622" i="7"/>
  <c r="P1622" i="7"/>
  <c r="N1592" i="7"/>
  <c r="M1592" i="7"/>
  <c r="L1592" i="7"/>
  <c r="K1592" i="7"/>
  <c r="J1592" i="7"/>
  <c r="I1592" i="7"/>
  <c r="H1592" i="7"/>
  <c r="G1592" i="7"/>
  <c r="F1592" i="7"/>
  <c r="E1592" i="7"/>
  <c r="R1590" i="7"/>
  <c r="Q1590" i="7"/>
  <c r="P1590" i="7"/>
  <c r="P1581" i="7"/>
  <c r="Q1581" i="7" s="1"/>
  <c r="R1581" i="7" s="1"/>
  <c r="Q1579" i="7"/>
  <c r="R1579" i="7" s="1"/>
  <c r="P1579" i="7"/>
  <c r="P1577" i="7"/>
  <c r="Q1577" i="7" s="1"/>
  <c r="R1577" i="7" s="1"/>
  <c r="Q1576" i="7"/>
  <c r="R1576" i="7" s="1"/>
  <c r="P1576" i="7"/>
  <c r="Q1575" i="7"/>
  <c r="R1575" i="7" s="1"/>
  <c r="O1575" i="7"/>
  <c r="N1575" i="7"/>
  <c r="M1575" i="7"/>
  <c r="L1575" i="7"/>
  <c r="K1575" i="7"/>
  <c r="J1575" i="7"/>
  <c r="I1575" i="7"/>
  <c r="H1575" i="7"/>
  <c r="G1575" i="7"/>
  <c r="F1575" i="7"/>
  <c r="P1575" i="7" s="1"/>
  <c r="E1575" i="7"/>
  <c r="R1573" i="7"/>
  <c r="P1573" i="7"/>
  <c r="Q1573" i="7" s="1"/>
  <c r="R1564" i="7"/>
  <c r="Q1564" i="7"/>
  <c r="P1564" i="7"/>
  <c r="O1558" i="7"/>
  <c r="N1558" i="7"/>
  <c r="M1558" i="7"/>
  <c r="L1558" i="7"/>
  <c r="K1558" i="7"/>
  <c r="J1558" i="7"/>
  <c r="I1558" i="7"/>
  <c r="H1558" i="7"/>
  <c r="P1558" i="7" s="1"/>
  <c r="G1558" i="7"/>
  <c r="F1558" i="7"/>
  <c r="E1558" i="7"/>
  <c r="P1557" i="7"/>
  <c r="Q1557" i="7" s="1"/>
  <c r="R1557" i="7" s="1"/>
  <c r="Q1554" i="7"/>
  <c r="R1554" i="7" s="1"/>
  <c r="P1554" i="7"/>
  <c r="R1547" i="7"/>
  <c r="Q1547" i="7"/>
  <c r="P1547" i="7"/>
  <c r="Q1545" i="7"/>
  <c r="R1545" i="7" s="1"/>
  <c r="P1545" i="7"/>
  <c r="R1542" i="7"/>
  <c r="P1542" i="7"/>
  <c r="Q1542" i="7" s="1"/>
  <c r="E1541" i="7"/>
  <c r="C1866" i="7" s="1"/>
  <c r="O1524" i="7"/>
  <c r="N1524" i="7"/>
  <c r="M1524" i="7"/>
  <c r="L1524" i="7"/>
  <c r="K1524" i="7"/>
  <c r="J1524" i="7"/>
  <c r="I1524" i="7"/>
  <c r="H1524" i="7"/>
  <c r="P1524" i="7" s="1"/>
  <c r="G1524" i="7"/>
  <c r="F1524" i="7"/>
  <c r="E1524" i="7"/>
  <c r="Q1522" i="7"/>
  <c r="R1522" i="7" s="1"/>
  <c r="P1522" i="7"/>
  <c r="Q1521" i="7"/>
  <c r="R1521" i="7" s="1"/>
  <c r="P1521" i="7"/>
  <c r="R1520" i="7"/>
  <c r="P1520" i="7"/>
  <c r="Q1520" i="7" s="1"/>
  <c r="R1511" i="7"/>
  <c r="Q1511" i="7"/>
  <c r="P1511" i="7"/>
  <c r="P1508" i="7"/>
  <c r="Q1508" i="7" s="1"/>
  <c r="R1508" i="7" s="1"/>
  <c r="O1507" i="7"/>
  <c r="N1507" i="7"/>
  <c r="M1507" i="7"/>
  <c r="L1507" i="7"/>
  <c r="K1507" i="7"/>
  <c r="J1507" i="7"/>
  <c r="I1507" i="7"/>
  <c r="H1507" i="7"/>
  <c r="G1507" i="7"/>
  <c r="F1507" i="7"/>
  <c r="E1507" i="7"/>
  <c r="Q1505" i="7"/>
  <c r="R1505" i="7" s="1"/>
  <c r="P1505" i="7"/>
  <c r="R1496" i="7"/>
  <c r="Q1496" i="7"/>
  <c r="P1496" i="7"/>
  <c r="O1490" i="7"/>
  <c r="N1490" i="7"/>
  <c r="M1490" i="7"/>
  <c r="L1490" i="7"/>
  <c r="K1490" i="7"/>
  <c r="J1490" i="7"/>
  <c r="I1490" i="7"/>
  <c r="H1490" i="7"/>
  <c r="G1490" i="7"/>
  <c r="F1490" i="7"/>
  <c r="E1490" i="7"/>
  <c r="R1489" i="7"/>
  <c r="Q1489" i="7"/>
  <c r="P1489" i="7"/>
  <c r="R1486" i="7"/>
  <c r="P1486" i="7"/>
  <c r="Q1486" i="7" s="1"/>
  <c r="Q1479" i="7"/>
  <c r="R1479" i="7" s="1"/>
  <c r="P1479" i="7"/>
  <c r="R1477" i="7"/>
  <c r="P1477" i="7"/>
  <c r="Q1477" i="7" s="1"/>
  <c r="Q1476" i="7"/>
  <c r="R1476" i="7" s="1"/>
  <c r="P1476" i="7"/>
  <c r="O1473" i="7"/>
  <c r="N1473" i="7"/>
  <c r="M1473" i="7"/>
  <c r="L1473" i="7"/>
  <c r="K1473" i="7"/>
  <c r="J1473" i="7"/>
  <c r="I1473" i="7"/>
  <c r="H1473" i="7"/>
  <c r="G1473" i="7"/>
  <c r="F1473" i="7"/>
  <c r="E1473" i="7"/>
  <c r="P1469" i="7"/>
  <c r="Q1469" i="7" s="1"/>
  <c r="R1469" i="7" s="1"/>
  <c r="R1462" i="7"/>
  <c r="Q1462" i="7"/>
  <c r="P1462" i="7"/>
  <c r="P1460" i="7"/>
  <c r="Q1460" i="7" s="1"/>
  <c r="R1460" i="7" s="1"/>
  <c r="P1458" i="7"/>
  <c r="Q1458" i="7" s="1"/>
  <c r="R1458" i="7" s="1"/>
  <c r="R1457" i="7"/>
  <c r="P1457" i="7"/>
  <c r="Q1457" i="7" s="1"/>
  <c r="O1439" i="7"/>
  <c r="N1439" i="7"/>
  <c r="M1439" i="7"/>
  <c r="L1439" i="7"/>
  <c r="K1439" i="7"/>
  <c r="J1439" i="7"/>
  <c r="I1439" i="7"/>
  <c r="H1439" i="7"/>
  <c r="G1439" i="7"/>
  <c r="F1439" i="7"/>
  <c r="E1439" i="7"/>
  <c r="P1437" i="7"/>
  <c r="Q1437" i="7" s="1"/>
  <c r="R1437" i="7" s="1"/>
  <c r="R1435" i="7"/>
  <c r="P1435" i="7"/>
  <c r="Q1435" i="7" s="1"/>
  <c r="O1422" i="7"/>
  <c r="N1422" i="7"/>
  <c r="M1422" i="7"/>
  <c r="L1422" i="7"/>
  <c r="K1422" i="7"/>
  <c r="J1422" i="7"/>
  <c r="I1422" i="7"/>
  <c r="H1422" i="7"/>
  <c r="G1422" i="7"/>
  <c r="F1422" i="7"/>
  <c r="E1422" i="7"/>
  <c r="Q1407" i="7"/>
  <c r="R1407" i="7" s="1"/>
  <c r="P1407" i="7"/>
  <c r="O1405" i="7"/>
  <c r="N1405" i="7"/>
  <c r="M1405" i="7"/>
  <c r="L1405" i="7"/>
  <c r="K1405" i="7"/>
  <c r="J1405" i="7"/>
  <c r="I1405" i="7"/>
  <c r="H1405" i="7"/>
  <c r="G1405" i="7"/>
  <c r="E1405" i="7"/>
  <c r="P1402" i="7"/>
  <c r="Q1402" i="7" s="1"/>
  <c r="R1402" i="7" s="1"/>
  <c r="F1389" i="7"/>
  <c r="D63" i="10" s="1"/>
  <c r="O1388" i="7"/>
  <c r="N1388" i="7"/>
  <c r="M1388" i="7"/>
  <c r="L1388" i="7"/>
  <c r="K1388" i="7"/>
  <c r="J1388" i="7"/>
  <c r="I1388" i="7"/>
  <c r="H1388" i="7"/>
  <c r="G1388" i="7"/>
  <c r="F1388" i="7"/>
  <c r="E1388" i="7"/>
  <c r="R1385" i="7"/>
  <c r="Q1385" i="7"/>
  <c r="P1385" i="7"/>
  <c r="Q1372" i="7"/>
  <c r="R1372" i="7" s="1"/>
  <c r="P1372" i="7"/>
  <c r="O1371" i="7"/>
  <c r="N1371" i="7"/>
  <c r="M1371" i="7"/>
  <c r="L1371" i="7"/>
  <c r="K1371" i="7"/>
  <c r="J1371" i="7"/>
  <c r="I1371" i="7"/>
  <c r="H1371" i="7"/>
  <c r="P1371" i="7" s="1"/>
  <c r="Q1371" i="7" s="1"/>
  <c r="R1371" i="7" s="1"/>
  <c r="G1371" i="7"/>
  <c r="F1371" i="7"/>
  <c r="E1371" i="7"/>
  <c r="Q1368" i="7"/>
  <c r="R1368" i="7" s="1"/>
  <c r="P1368" i="7"/>
  <c r="Q1362" i="7"/>
  <c r="R1362" i="7" s="1"/>
  <c r="P1362" i="7"/>
  <c r="Q1359" i="7"/>
  <c r="R1359" i="7" s="1"/>
  <c r="P1359" i="7"/>
  <c r="E1359" i="7"/>
  <c r="P1356" i="7"/>
  <c r="Q1356" i="7" s="1"/>
  <c r="R1356" i="7" s="1"/>
  <c r="O1355" i="7"/>
  <c r="N1355" i="7"/>
  <c r="M1355" i="7"/>
  <c r="L1355" i="7"/>
  <c r="K1355" i="7"/>
  <c r="J1355" i="7"/>
  <c r="I1355" i="7"/>
  <c r="H1355" i="7"/>
  <c r="P1355" i="7" s="1"/>
  <c r="G1355" i="7"/>
  <c r="F1355" i="7"/>
  <c r="E1355" i="7"/>
  <c r="Q1355" i="7" s="1"/>
  <c r="R1355" i="7" s="1"/>
  <c r="R1352" i="7"/>
  <c r="Q1352" i="7"/>
  <c r="P1352" i="7"/>
  <c r="Q1351" i="7"/>
  <c r="R1351" i="7" s="1"/>
  <c r="P1351" i="7"/>
  <c r="P1345" i="7"/>
  <c r="Q1345" i="7" s="1"/>
  <c r="R1345" i="7" s="1"/>
  <c r="R1344" i="7"/>
  <c r="Q1344" i="7"/>
  <c r="P1344" i="7"/>
  <c r="P1343" i="7"/>
  <c r="Q1343" i="7" s="1"/>
  <c r="R1343" i="7" s="1"/>
  <c r="Q1342" i="7"/>
  <c r="R1342" i="7" s="1"/>
  <c r="P1342" i="7"/>
  <c r="P1340" i="7"/>
  <c r="Q1340" i="7" s="1"/>
  <c r="R1340" i="7" s="1"/>
  <c r="O1336" i="7"/>
  <c r="N1336" i="7"/>
  <c r="M1336" i="7"/>
  <c r="L1336" i="7"/>
  <c r="K1336" i="7"/>
  <c r="J1336" i="7"/>
  <c r="I1336" i="7"/>
  <c r="H1336" i="7"/>
  <c r="G1336" i="7"/>
  <c r="F1336" i="7"/>
  <c r="P1336" i="7" s="1"/>
  <c r="E1336" i="7"/>
  <c r="Q1336" i="7" s="1"/>
  <c r="R1336" i="7" s="1"/>
  <c r="Q1332" i="7"/>
  <c r="R1332" i="7" s="1"/>
  <c r="P1332" i="7"/>
  <c r="P1328" i="7"/>
  <c r="Q1328" i="7" s="1"/>
  <c r="R1328" i="7" s="1"/>
  <c r="R1327" i="7"/>
  <c r="Q1327" i="7"/>
  <c r="P1327" i="7"/>
  <c r="P1326" i="7"/>
  <c r="Q1326" i="7" s="1"/>
  <c r="R1326" i="7" s="1"/>
  <c r="Q1325" i="7"/>
  <c r="R1325" i="7" s="1"/>
  <c r="P1325" i="7"/>
  <c r="P1323" i="7"/>
  <c r="E1323" i="7"/>
  <c r="C66" i="10" s="1"/>
  <c r="O66" i="10" s="1"/>
  <c r="P66" i="10" s="1"/>
  <c r="O1319" i="7"/>
  <c r="N1319" i="7"/>
  <c r="M1319" i="7"/>
  <c r="L1319" i="7"/>
  <c r="K1319" i="7"/>
  <c r="J1319" i="7"/>
  <c r="I1319" i="7"/>
  <c r="H1319" i="7"/>
  <c r="G1319" i="7"/>
  <c r="P1319" i="7" s="1"/>
  <c r="F1319" i="7"/>
  <c r="E1319" i="7"/>
  <c r="Q1317" i="7"/>
  <c r="R1317" i="7" s="1"/>
  <c r="P1317" i="7"/>
  <c r="Q1315" i="7"/>
  <c r="R1315" i="7" s="1"/>
  <c r="P1315" i="7"/>
  <c r="O1285" i="7"/>
  <c r="N1285" i="7"/>
  <c r="M1285" i="7"/>
  <c r="L1285" i="7"/>
  <c r="K1285" i="7"/>
  <c r="J1285" i="7"/>
  <c r="I1285" i="7"/>
  <c r="H1285" i="7"/>
  <c r="G1285" i="7"/>
  <c r="F1285" i="7"/>
  <c r="E1285" i="7"/>
  <c r="Q1281" i="7"/>
  <c r="R1281" i="7" s="1"/>
  <c r="P1281" i="7"/>
  <c r="P1274" i="7"/>
  <c r="Q1274" i="7" s="1"/>
  <c r="R1274" i="7" s="1"/>
  <c r="O1268" i="7"/>
  <c r="N1268" i="7"/>
  <c r="M1268" i="7"/>
  <c r="L1268" i="7"/>
  <c r="K1268" i="7"/>
  <c r="J1268" i="7"/>
  <c r="I1268" i="7"/>
  <c r="H1268" i="7"/>
  <c r="P1268" i="7" s="1"/>
  <c r="G1268" i="7"/>
  <c r="F1268" i="7"/>
  <c r="E1268" i="7"/>
  <c r="Q1267" i="7"/>
  <c r="R1267" i="7" s="1"/>
  <c r="P1267" i="7"/>
  <c r="Q1266" i="7"/>
  <c r="R1266" i="7" s="1"/>
  <c r="P1266" i="7"/>
  <c r="P1257" i="7"/>
  <c r="Q1257" i="7" s="1"/>
  <c r="R1257" i="7" s="1"/>
  <c r="R1252" i="7"/>
  <c r="Q1252" i="7"/>
  <c r="P1252" i="7"/>
  <c r="O1251" i="7"/>
  <c r="N1251" i="7"/>
  <c r="M1251" i="7"/>
  <c r="L1251" i="7"/>
  <c r="K1251" i="7"/>
  <c r="J1251" i="7"/>
  <c r="I1251" i="7"/>
  <c r="H1251" i="7"/>
  <c r="P1251" i="7" s="1"/>
  <c r="Q1251" i="7" s="1"/>
  <c r="R1251" i="7" s="1"/>
  <c r="G1251" i="7"/>
  <c r="F1251" i="7"/>
  <c r="E1251" i="7"/>
  <c r="P1247" i="7"/>
  <c r="Q1247" i="7" s="1"/>
  <c r="R1247" i="7" s="1"/>
  <c r="R1240" i="7"/>
  <c r="Q1240" i="7"/>
  <c r="P1240" i="7"/>
  <c r="O1234" i="7"/>
  <c r="N1234" i="7"/>
  <c r="M1234" i="7"/>
  <c r="L1234" i="7"/>
  <c r="K1234" i="7"/>
  <c r="J1234" i="7"/>
  <c r="I1234" i="7"/>
  <c r="H1234" i="7"/>
  <c r="G1234" i="7"/>
  <c r="F1234" i="7"/>
  <c r="P1234" i="7" s="1"/>
  <c r="E1234" i="7"/>
  <c r="P1230" i="7"/>
  <c r="Q1230" i="7" s="1"/>
  <c r="R1230" i="7" s="1"/>
  <c r="R1223" i="7"/>
  <c r="Q1223" i="7"/>
  <c r="P1223" i="7"/>
  <c r="O1217" i="7"/>
  <c r="N1217" i="7"/>
  <c r="M1217" i="7"/>
  <c r="L1217" i="7"/>
  <c r="K1217" i="7"/>
  <c r="J1217" i="7"/>
  <c r="I1217" i="7"/>
  <c r="H1217" i="7"/>
  <c r="P1217" i="7" s="1"/>
  <c r="Q1217" i="7" s="1"/>
  <c r="R1217" i="7" s="1"/>
  <c r="G1217" i="7"/>
  <c r="F1217" i="7"/>
  <c r="E1217" i="7"/>
  <c r="P1216" i="7"/>
  <c r="Q1216" i="7" s="1"/>
  <c r="R1216" i="7" s="1"/>
  <c r="R1213" i="7"/>
  <c r="Q1213" i="7"/>
  <c r="P1213" i="7"/>
  <c r="Q1206" i="7"/>
  <c r="R1206" i="7" s="1"/>
  <c r="P1206" i="7"/>
  <c r="O1200" i="7"/>
  <c r="N1200" i="7"/>
  <c r="M1200" i="7"/>
  <c r="L1200" i="7"/>
  <c r="K1200" i="7"/>
  <c r="J1200" i="7"/>
  <c r="I1200" i="7"/>
  <c r="H1200" i="7"/>
  <c r="P1200" i="7" s="1"/>
  <c r="Q1200" i="7" s="1"/>
  <c r="R1200" i="7" s="1"/>
  <c r="G1200" i="7"/>
  <c r="F1200" i="7"/>
  <c r="E1200" i="7"/>
  <c r="R1199" i="7"/>
  <c r="Q1199" i="7"/>
  <c r="P1199" i="7"/>
  <c r="R1198" i="7"/>
  <c r="Q1198" i="7"/>
  <c r="P1198" i="7"/>
  <c r="P1197" i="7"/>
  <c r="Q1197" i="7" s="1"/>
  <c r="R1197" i="7" s="1"/>
  <c r="P1196" i="7"/>
  <c r="Q1196" i="7" s="1"/>
  <c r="R1196" i="7" s="1"/>
  <c r="R1190" i="7"/>
  <c r="Q1190" i="7"/>
  <c r="P1190" i="7"/>
  <c r="Q1189" i="7"/>
  <c r="R1189" i="7" s="1"/>
  <c r="P1189" i="7"/>
  <c r="O1183" i="7"/>
  <c r="N1183" i="7"/>
  <c r="M1183" i="7"/>
  <c r="L1183" i="7"/>
  <c r="K1183" i="7"/>
  <c r="J1183" i="7"/>
  <c r="I1183" i="7"/>
  <c r="H1183" i="7"/>
  <c r="P1183" i="7" s="1"/>
  <c r="Q1183" i="7" s="1"/>
  <c r="R1183" i="7" s="1"/>
  <c r="G1183" i="7"/>
  <c r="F1183" i="7"/>
  <c r="E1183" i="7"/>
  <c r="R1182" i="7"/>
  <c r="Q1182" i="7"/>
  <c r="P1182" i="7"/>
  <c r="Q1181" i="7"/>
  <c r="R1181" i="7" s="1"/>
  <c r="P1181" i="7"/>
  <c r="P1174" i="7"/>
  <c r="Q1174" i="7" s="1"/>
  <c r="R1174" i="7" s="1"/>
  <c r="P1173" i="7"/>
  <c r="Q1173" i="7" s="1"/>
  <c r="R1173" i="7" s="1"/>
  <c r="R1172" i="7"/>
  <c r="Q1172" i="7"/>
  <c r="P1172" i="7"/>
  <c r="O1166" i="7"/>
  <c r="N1166" i="7"/>
  <c r="M1166" i="7"/>
  <c r="L1166" i="7"/>
  <c r="K1166" i="7"/>
  <c r="J1166" i="7"/>
  <c r="I1166" i="7"/>
  <c r="H1166" i="7"/>
  <c r="G1166" i="7"/>
  <c r="F1166" i="7"/>
  <c r="P1166" i="7" s="1"/>
  <c r="E1166" i="7"/>
  <c r="P1164" i="7"/>
  <c r="Q1164" i="7" s="1"/>
  <c r="R1164" i="7" s="1"/>
  <c r="O1149" i="7"/>
  <c r="N1149" i="7"/>
  <c r="M1149" i="7"/>
  <c r="L1149" i="7"/>
  <c r="K1149" i="7"/>
  <c r="J1149" i="7"/>
  <c r="I1149" i="7"/>
  <c r="H1149" i="7"/>
  <c r="G1149" i="7"/>
  <c r="F1149" i="7"/>
  <c r="E1149" i="7"/>
  <c r="P1148" i="7"/>
  <c r="Q1148" i="7" s="1"/>
  <c r="R1148" i="7" s="1"/>
  <c r="P1145" i="7"/>
  <c r="Q1145" i="7" s="1"/>
  <c r="R1145" i="7" s="1"/>
  <c r="R1134" i="7"/>
  <c r="Q1134" i="7"/>
  <c r="P1134" i="7"/>
  <c r="O1132" i="7"/>
  <c r="N1132" i="7"/>
  <c r="M1132" i="7"/>
  <c r="L1132" i="7"/>
  <c r="K1132" i="7"/>
  <c r="J1132" i="7"/>
  <c r="I1132" i="7"/>
  <c r="H1132" i="7"/>
  <c r="G1132" i="7"/>
  <c r="F1132" i="7"/>
  <c r="P1132" i="7" s="1"/>
  <c r="E1132" i="7"/>
  <c r="P1131" i="7"/>
  <c r="Q1131" i="7" s="1"/>
  <c r="R1131" i="7" s="1"/>
  <c r="R1128" i="7"/>
  <c r="Q1128" i="7"/>
  <c r="P1128" i="7"/>
  <c r="Q1121" i="7"/>
  <c r="R1121" i="7" s="1"/>
  <c r="P1121" i="7"/>
  <c r="P1117" i="7"/>
  <c r="Q1117" i="7" s="1"/>
  <c r="R1117" i="7" s="1"/>
  <c r="O1064" i="7"/>
  <c r="N1064" i="7"/>
  <c r="M1064" i="7"/>
  <c r="L1064" i="7"/>
  <c r="K1064" i="7"/>
  <c r="J1064" i="7"/>
  <c r="I1064" i="7"/>
  <c r="H1064" i="7"/>
  <c r="P1064" i="7" s="1"/>
  <c r="G1064" i="7"/>
  <c r="F1064" i="7"/>
  <c r="E1064" i="7"/>
  <c r="Q1063" i="7"/>
  <c r="R1063" i="7" s="1"/>
  <c r="P1063" i="7"/>
  <c r="Q1062" i="7"/>
  <c r="R1062" i="7" s="1"/>
  <c r="P1062" i="7"/>
  <c r="P1061" i="7"/>
  <c r="Q1061" i="7" s="1"/>
  <c r="R1061" i="7" s="1"/>
  <c r="R1060" i="7"/>
  <c r="Q1060" i="7"/>
  <c r="P1060" i="7"/>
  <c r="Q1053" i="7"/>
  <c r="R1053" i="7" s="1"/>
  <c r="P1053" i="7"/>
  <c r="P1051" i="7"/>
  <c r="Q1051" i="7" s="1"/>
  <c r="R1051" i="7" s="1"/>
  <c r="P1048" i="7"/>
  <c r="Q1048" i="7" s="1"/>
  <c r="R1048" i="7" s="1"/>
  <c r="O1047" i="7"/>
  <c r="N1047" i="7"/>
  <c r="L1047" i="7"/>
  <c r="K1047" i="7"/>
  <c r="J1047" i="7"/>
  <c r="I1047" i="7"/>
  <c r="H1047" i="7"/>
  <c r="G1047" i="7"/>
  <c r="F1047" i="7"/>
  <c r="P1047" i="7" s="1"/>
  <c r="E1047" i="7"/>
  <c r="P1046" i="7"/>
  <c r="Q1046" i="7" s="1"/>
  <c r="R1046" i="7" s="1"/>
  <c r="R1043" i="7"/>
  <c r="Q1043" i="7"/>
  <c r="P1043" i="7"/>
  <c r="Q1033" i="7"/>
  <c r="R1033" i="7" s="1"/>
  <c r="P1033" i="7"/>
  <c r="O1030" i="7"/>
  <c r="N1030" i="7"/>
  <c r="M1030" i="7"/>
  <c r="L1030" i="7"/>
  <c r="K1030" i="7"/>
  <c r="J1030" i="7"/>
  <c r="I1030" i="7"/>
  <c r="H1030" i="7"/>
  <c r="P1030" i="7" s="1"/>
  <c r="Q1030" i="7" s="1"/>
  <c r="R1030" i="7" s="1"/>
  <c r="G1030" i="7"/>
  <c r="F1030" i="7"/>
  <c r="E1030" i="7"/>
  <c r="R1020" i="7"/>
  <c r="Q1020" i="7"/>
  <c r="P1020" i="7"/>
  <c r="R1019" i="7"/>
  <c r="Q1019" i="7"/>
  <c r="P1019" i="7"/>
  <c r="P1017" i="7"/>
  <c r="Q1017" i="7" s="1"/>
  <c r="R1017" i="7" s="1"/>
  <c r="P1015" i="7"/>
  <c r="Q1015" i="7" s="1"/>
  <c r="R1015" i="7" s="1"/>
  <c r="O1013" i="7"/>
  <c r="N1013" i="7"/>
  <c r="M1013" i="7"/>
  <c r="L1013" i="7"/>
  <c r="K1013" i="7"/>
  <c r="J1013" i="7"/>
  <c r="I1013" i="7"/>
  <c r="H1013" i="7"/>
  <c r="G1013" i="7"/>
  <c r="F1013" i="7"/>
  <c r="E1013" i="7"/>
  <c r="P998" i="7"/>
  <c r="Q998" i="7" s="1"/>
  <c r="R998" i="7" s="1"/>
  <c r="O996" i="7"/>
  <c r="N996" i="7"/>
  <c r="M996" i="7"/>
  <c r="L996" i="7"/>
  <c r="K996" i="7"/>
  <c r="J996" i="7"/>
  <c r="I996" i="7"/>
  <c r="H996" i="7"/>
  <c r="G996" i="7"/>
  <c r="P996" i="7" s="1"/>
  <c r="F996" i="7"/>
  <c r="E996" i="7"/>
  <c r="R982" i="7"/>
  <c r="Q982" i="7"/>
  <c r="P982" i="7"/>
  <c r="P981" i="7"/>
  <c r="Q981" i="7" s="1"/>
  <c r="R981" i="7" s="1"/>
  <c r="O979" i="7"/>
  <c r="N979" i="7"/>
  <c r="M979" i="7"/>
  <c r="L979" i="7"/>
  <c r="K979" i="7"/>
  <c r="J979" i="7"/>
  <c r="I979" i="7"/>
  <c r="H979" i="7"/>
  <c r="G979" i="7"/>
  <c r="P979" i="7" s="1"/>
  <c r="F979" i="7"/>
  <c r="E979" i="7"/>
  <c r="Q969" i="7"/>
  <c r="R969" i="7" s="1"/>
  <c r="P969" i="7"/>
  <c r="Q964" i="7"/>
  <c r="R964" i="7" s="1"/>
  <c r="P964" i="7"/>
  <c r="O962" i="7"/>
  <c r="N962" i="7"/>
  <c r="M962" i="7"/>
  <c r="L962" i="7"/>
  <c r="K962" i="7"/>
  <c r="J962" i="7"/>
  <c r="I962" i="7"/>
  <c r="H962" i="7"/>
  <c r="G962" i="7"/>
  <c r="P962" i="7" s="1"/>
  <c r="F962" i="7"/>
  <c r="E962" i="7"/>
  <c r="Q961" i="7"/>
  <c r="R961" i="7" s="1"/>
  <c r="P961" i="7"/>
  <c r="P960" i="7"/>
  <c r="Q960" i="7" s="1"/>
  <c r="R960" i="7" s="1"/>
  <c r="P959" i="7"/>
  <c r="Q959" i="7" s="1"/>
  <c r="R959" i="7" s="1"/>
  <c r="R957" i="7"/>
  <c r="Q957" i="7"/>
  <c r="P957" i="7"/>
  <c r="Q950" i="7"/>
  <c r="R950" i="7" s="1"/>
  <c r="P950" i="7"/>
  <c r="P946" i="7"/>
  <c r="Q946" i="7" s="1"/>
  <c r="R946" i="7" s="1"/>
  <c r="O944" i="7"/>
  <c r="N944" i="7"/>
  <c r="M944" i="7"/>
  <c r="L944" i="7"/>
  <c r="K944" i="7"/>
  <c r="J944" i="7"/>
  <c r="I944" i="7"/>
  <c r="H944" i="7"/>
  <c r="G944" i="7"/>
  <c r="F944" i="7"/>
  <c r="E944" i="7"/>
  <c r="R930" i="7"/>
  <c r="Q930" i="7"/>
  <c r="P930" i="7"/>
  <c r="O927" i="7"/>
  <c r="N927" i="7"/>
  <c r="M927" i="7"/>
  <c r="L927" i="7"/>
  <c r="K927" i="7"/>
  <c r="J927" i="7"/>
  <c r="I927" i="7"/>
  <c r="H927" i="7"/>
  <c r="G927" i="7"/>
  <c r="F927" i="7"/>
  <c r="E927" i="7"/>
  <c r="R923" i="7"/>
  <c r="Q923" i="7"/>
  <c r="P923" i="7"/>
  <c r="Q916" i="7"/>
  <c r="R916" i="7" s="1"/>
  <c r="P916" i="7"/>
  <c r="P914" i="7"/>
  <c r="Q914" i="7" s="1"/>
  <c r="R914" i="7" s="1"/>
  <c r="O910" i="7"/>
  <c r="N910" i="7"/>
  <c r="M910" i="7"/>
  <c r="L910" i="7"/>
  <c r="K910" i="7"/>
  <c r="J910" i="7"/>
  <c r="I910" i="7"/>
  <c r="H910" i="7"/>
  <c r="G910" i="7"/>
  <c r="F910" i="7"/>
  <c r="P910" i="7" s="1"/>
  <c r="E910" i="7"/>
  <c r="Q910" i="7" s="1"/>
  <c r="R910" i="7" s="1"/>
  <c r="R900" i="7"/>
  <c r="Q900" i="7"/>
  <c r="P900" i="7"/>
  <c r="P895" i="7"/>
  <c r="Q895" i="7" s="1"/>
  <c r="R895" i="7" s="1"/>
  <c r="O893" i="7"/>
  <c r="N893" i="7"/>
  <c r="M893" i="7"/>
  <c r="L893" i="7"/>
  <c r="K893" i="7"/>
  <c r="J893" i="7"/>
  <c r="I893" i="7"/>
  <c r="H893" i="7"/>
  <c r="P893" i="7" s="1"/>
  <c r="G893" i="7"/>
  <c r="F893" i="7"/>
  <c r="E893" i="7"/>
  <c r="Q890" i="7"/>
  <c r="R890" i="7" s="1"/>
  <c r="P890" i="7"/>
  <c r="Q889" i="7"/>
  <c r="R889" i="7" s="1"/>
  <c r="P889" i="7"/>
  <c r="P880" i="7"/>
  <c r="Q880" i="7" s="1"/>
  <c r="R880" i="7" s="1"/>
  <c r="O876" i="7"/>
  <c r="N876" i="7"/>
  <c r="M876" i="7"/>
  <c r="L876" i="7"/>
  <c r="K876" i="7"/>
  <c r="J876" i="7"/>
  <c r="I876" i="7"/>
  <c r="H876" i="7"/>
  <c r="G876" i="7"/>
  <c r="F876" i="7"/>
  <c r="P876" i="7" s="1"/>
  <c r="E876" i="7"/>
  <c r="Q876" i="7" s="1"/>
  <c r="R876" i="7" s="1"/>
  <c r="P872" i="7"/>
  <c r="Q872" i="7" s="1"/>
  <c r="R872" i="7" s="1"/>
  <c r="P868" i="7"/>
  <c r="Q868" i="7" s="1"/>
  <c r="R868" i="7" s="1"/>
  <c r="R867" i="7"/>
  <c r="Q867" i="7"/>
  <c r="P867" i="7"/>
  <c r="Q866" i="7"/>
  <c r="R866" i="7" s="1"/>
  <c r="P866" i="7"/>
  <c r="Q865" i="7"/>
  <c r="R865" i="7" s="1"/>
  <c r="P865" i="7"/>
  <c r="P863" i="7"/>
  <c r="Q863" i="7" s="1"/>
  <c r="R863" i="7" s="1"/>
  <c r="R862" i="7"/>
  <c r="Q862" i="7"/>
  <c r="P862" i="7"/>
  <c r="Q861" i="7"/>
  <c r="R861" i="7" s="1"/>
  <c r="P861" i="7"/>
  <c r="O859" i="7"/>
  <c r="N859" i="7"/>
  <c r="M859" i="7"/>
  <c r="L859" i="7"/>
  <c r="K859" i="7"/>
  <c r="J859" i="7"/>
  <c r="I859" i="7"/>
  <c r="H859" i="7"/>
  <c r="E859" i="7"/>
  <c r="R858" i="7"/>
  <c r="Q858" i="7"/>
  <c r="P858" i="7"/>
  <c r="Q856" i="7"/>
  <c r="R856" i="7" s="1"/>
  <c r="P856" i="7"/>
  <c r="P855" i="7"/>
  <c r="Q855" i="7" s="1"/>
  <c r="R855" i="7" s="1"/>
  <c r="P854" i="7"/>
  <c r="Q854" i="7" s="1"/>
  <c r="R854" i="7" s="1"/>
  <c r="R853" i="7"/>
  <c r="Q853" i="7"/>
  <c r="P853" i="7"/>
  <c r="R852" i="7"/>
  <c r="Q852" i="7"/>
  <c r="P852" i="7"/>
  <c r="P851" i="7"/>
  <c r="Q851" i="7" s="1"/>
  <c r="R851" i="7" s="1"/>
  <c r="P850" i="7"/>
  <c r="Q850" i="7" s="1"/>
  <c r="R850" i="7" s="1"/>
  <c r="R849" i="7"/>
  <c r="Q849" i="7"/>
  <c r="P849" i="7"/>
  <c r="Q848" i="7"/>
  <c r="R848" i="7" s="1"/>
  <c r="P848" i="7"/>
  <c r="P844" i="7"/>
  <c r="Q844" i="7" s="1"/>
  <c r="R844" i="7" s="1"/>
  <c r="G844" i="7"/>
  <c r="E42" i="10" s="1"/>
  <c r="E51" i="10" s="1"/>
  <c r="F844" i="7"/>
  <c r="D42" i="10" s="1"/>
  <c r="N842" i="7"/>
  <c r="M842" i="7"/>
  <c r="L842" i="7"/>
  <c r="K842" i="7"/>
  <c r="J842" i="7"/>
  <c r="I842" i="7"/>
  <c r="P838" i="7"/>
  <c r="Q838" i="7" s="1"/>
  <c r="R838" i="7" s="1"/>
  <c r="R832" i="7"/>
  <c r="Q832" i="7"/>
  <c r="P832" i="7"/>
  <c r="O829" i="7"/>
  <c r="M33" i="10" s="1"/>
  <c r="N829" i="7"/>
  <c r="L33" i="10" s="1"/>
  <c r="H829" i="7"/>
  <c r="F33" i="10" s="1"/>
  <c r="G829" i="7"/>
  <c r="E33" i="10" s="1"/>
  <c r="E829" i="7"/>
  <c r="I826" i="7"/>
  <c r="G30" i="10" s="1"/>
  <c r="G40" i="10" s="1"/>
  <c r="G826" i="7"/>
  <c r="P826" i="7" s="1"/>
  <c r="Q826" i="7" s="1"/>
  <c r="R826" i="7" s="1"/>
  <c r="O825" i="7"/>
  <c r="L825" i="7"/>
  <c r="K825" i="7"/>
  <c r="J825" i="7"/>
  <c r="I825" i="7"/>
  <c r="H825" i="7"/>
  <c r="G825" i="7"/>
  <c r="Q822" i="7"/>
  <c r="R822" i="7" s="1"/>
  <c r="P822" i="7"/>
  <c r="F822" i="7"/>
  <c r="D37" i="10" s="1"/>
  <c r="N37" i="10" s="1"/>
  <c r="Q821" i="7"/>
  <c r="R821" i="7" s="1"/>
  <c r="P821" i="7"/>
  <c r="P816" i="7"/>
  <c r="Q816" i="7" s="1"/>
  <c r="R816" i="7" s="1"/>
  <c r="P814" i="7"/>
  <c r="Q814" i="7" s="1"/>
  <c r="R814" i="7" s="1"/>
  <c r="O810" i="7"/>
  <c r="M810" i="7"/>
  <c r="M825" i="7" s="1"/>
  <c r="E810" i="7"/>
  <c r="C31" i="10" s="1"/>
  <c r="O809" i="7"/>
  <c r="M30" i="10" s="1"/>
  <c r="N809" i="7"/>
  <c r="L30" i="10" s="1"/>
  <c r="G809" i="7"/>
  <c r="P809" i="7" s="1"/>
  <c r="Q809" i="7" s="1"/>
  <c r="R809" i="7" s="1"/>
  <c r="F809" i="7"/>
  <c r="D30" i="10" s="1"/>
  <c r="M808" i="7"/>
  <c r="L808" i="7"/>
  <c r="K808" i="7"/>
  <c r="J808" i="7"/>
  <c r="I808" i="7"/>
  <c r="E808" i="7"/>
  <c r="P798" i="7"/>
  <c r="Q798" i="7" s="1"/>
  <c r="R798" i="7" s="1"/>
  <c r="I798" i="7"/>
  <c r="G35" i="10" s="1"/>
  <c r="H798" i="7"/>
  <c r="F35" i="10" s="1"/>
  <c r="G798" i="7"/>
  <c r="E35" i="10" s="1"/>
  <c r="F798" i="7"/>
  <c r="F808" i="7" s="1"/>
  <c r="O793" i="7"/>
  <c r="O808" i="7" s="1"/>
  <c r="N793" i="7"/>
  <c r="M793" i="7"/>
  <c r="K31" i="10" s="1"/>
  <c r="K40" i="10" s="1"/>
  <c r="F793" i="7"/>
  <c r="N791" i="7"/>
  <c r="M791" i="7"/>
  <c r="L791" i="7"/>
  <c r="K791" i="7"/>
  <c r="J791" i="7"/>
  <c r="I791" i="7"/>
  <c r="H791" i="7"/>
  <c r="G791" i="7"/>
  <c r="E791" i="7"/>
  <c r="P777" i="7"/>
  <c r="Q777" i="7" s="1"/>
  <c r="R777" i="7" s="1"/>
  <c r="O776" i="7"/>
  <c r="F776" i="7"/>
  <c r="O774" i="7"/>
  <c r="N774" i="7"/>
  <c r="M774" i="7"/>
  <c r="L774" i="7"/>
  <c r="K774" i="7"/>
  <c r="J774" i="7"/>
  <c r="I774" i="7"/>
  <c r="H774" i="7"/>
  <c r="G774" i="7"/>
  <c r="P774" i="7" s="1"/>
  <c r="Q774" i="7" s="1"/>
  <c r="R774" i="7" s="1"/>
  <c r="F774" i="7"/>
  <c r="E774" i="7"/>
  <c r="R771" i="7"/>
  <c r="Q771" i="7"/>
  <c r="P771" i="7"/>
  <c r="P760" i="7"/>
  <c r="Q760" i="7" s="1"/>
  <c r="R760" i="7" s="1"/>
  <c r="O757" i="7"/>
  <c r="N757" i="7"/>
  <c r="M757" i="7"/>
  <c r="L757" i="7"/>
  <c r="K757" i="7"/>
  <c r="J757" i="7"/>
  <c r="I757" i="7"/>
  <c r="H757" i="7"/>
  <c r="G757" i="7"/>
  <c r="P757" i="7" s="1"/>
  <c r="F757" i="7"/>
  <c r="E757" i="7"/>
  <c r="Q743" i="7"/>
  <c r="R743" i="7" s="1"/>
  <c r="P743" i="7"/>
  <c r="O740" i="7"/>
  <c r="N740" i="7"/>
  <c r="M740" i="7"/>
  <c r="L740" i="7"/>
  <c r="K740" i="7"/>
  <c r="J740" i="7"/>
  <c r="I740" i="7"/>
  <c r="H740" i="7"/>
  <c r="P740" i="7" s="1"/>
  <c r="Q740" i="7" s="1"/>
  <c r="R740" i="7" s="1"/>
  <c r="G740" i="7"/>
  <c r="F740" i="7"/>
  <c r="E740" i="7"/>
  <c r="R737" i="7"/>
  <c r="Q737" i="7"/>
  <c r="P737" i="7"/>
  <c r="R725" i="7"/>
  <c r="Q725" i="7"/>
  <c r="P725" i="7"/>
  <c r="O723" i="7"/>
  <c r="N723" i="7"/>
  <c r="M723" i="7"/>
  <c r="L723" i="7"/>
  <c r="K723" i="7"/>
  <c r="J723" i="7"/>
  <c r="I723" i="7"/>
  <c r="H723" i="7"/>
  <c r="P723" i="7" s="1"/>
  <c r="G723" i="7"/>
  <c r="F723" i="7"/>
  <c r="E723" i="7"/>
  <c r="R720" i="7"/>
  <c r="Q720" i="7"/>
  <c r="P720" i="7"/>
  <c r="O706" i="7"/>
  <c r="N706" i="7"/>
  <c r="M706" i="7"/>
  <c r="L706" i="7"/>
  <c r="K706" i="7"/>
  <c r="J706" i="7"/>
  <c r="I706" i="7"/>
  <c r="H706" i="7"/>
  <c r="G706" i="7"/>
  <c r="F706" i="7"/>
  <c r="E706" i="7"/>
  <c r="P704" i="7"/>
  <c r="Q704" i="7" s="1"/>
  <c r="R704" i="7" s="1"/>
  <c r="R702" i="7"/>
  <c r="Q702" i="7"/>
  <c r="P702" i="7"/>
  <c r="R697" i="7"/>
  <c r="Q697" i="7"/>
  <c r="P697" i="7"/>
  <c r="P695" i="7"/>
  <c r="Q695" i="7" s="1"/>
  <c r="R695" i="7" s="1"/>
  <c r="P693" i="7"/>
  <c r="Q693" i="7" s="1"/>
  <c r="R693" i="7" s="1"/>
  <c r="R691" i="7"/>
  <c r="Q691" i="7"/>
  <c r="P691" i="7"/>
  <c r="O689" i="7"/>
  <c r="N689" i="7"/>
  <c r="M689" i="7"/>
  <c r="L689" i="7"/>
  <c r="K689" i="7"/>
  <c r="J689" i="7"/>
  <c r="I689" i="7"/>
  <c r="H689" i="7"/>
  <c r="G689" i="7"/>
  <c r="F689" i="7"/>
  <c r="E689" i="7"/>
  <c r="P687" i="7"/>
  <c r="Q687" i="7" s="1"/>
  <c r="R687" i="7" s="1"/>
  <c r="R686" i="7"/>
  <c r="Q686" i="7"/>
  <c r="P686" i="7"/>
  <c r="Q685" i="7"/>
  <c r="R685" i="7" s="1"/>
  <c r="P685" i="7"/>
  <c r="O672" i="7"/>
  <c r="N672" i="7"/>
  <c r="M672" i="7"/>
  <c r="L672" i="7"/>
  <c r="K672" i="7"/>
  <c r="J672" i="7"/>
  <c r="I672" i="7"/>
  <c r="H672" i="7"/>
  <c r="G672" i="7"/>
  <c r="F672" i="7"/>
  <c r="E672" i="7"/>
  <c r="R671" i="7"/>
  <c r="Q671" i="7"/>
  <c r="P671" i="7"/>
  <c r="Q669" i="7"/>
  <c r="R669" i="7" s="1"/>
  <c r="P669" i="7"/>
  <c r="P668" i="7"/>
  <c r="Q668" i="7" s="1"/>
  <c r="R668" i="7" s="1"/>
  <c r="P662" i="7"/>
  <c r="Q662" i="7" s="1"/>
  <c r="R662" i="7" s="1"/>
  <c r="O638" i="7"/>
  <c r="N638" i="7"/>
  <c r="M638" i="7"/>
  <c r="L638" i="7"/>
  <c r="K638" i="7"/>
  <c r="J638" i="7"/>
  <c r="I638" i="7"/>
  <c r="H638" i="7"/>
  <c r="G638" i="7"/>
  <c r="F638" i="7"/>
  <c r="P638" i="7" s="1"/>
  <c r="E638" i="7"/>
  <c r="P629" i="7"/>
  <c r="Q629" i="7" s="1"/>
  <c r="R629" i="7" s="1"/>
  <c r="P627" i="7"/>
  <c r="Q627" i="7" s="1"/>
  <c r="R627" i="7" s="1"/>
  <c r="R622" i="7"/>
  <c r="Q622" i="7"/>
  <c r="P622" i="7"/>
  <c r="N621" i="7"/>
  <c r="M621" i="7"/>
  <c r="L621" i="7"/>
  <c r="I621" i="7"/>
  <c r="H621" i="7"/>
  <c r="F621" i="7"/>
  <c r="E621" i="7"/>
  <c r="P617" i="7"/>
  <c r="Q617" i="7" s="1"/>
  <c r="R617" i="7" s="1"/>
  <c r="R610" i="7"/>
  <c r="Q610" i="7"/>
  <c r="P610" i="7"/>
  <c r="O608" i="7"/>
  <c r="M22" i="10" s="1"/>
  <c r="G608" i="7"/>
  <c r="E22" i="10" s="1"/>
  <c r="F608" i="7"/>
  <c r="O605" i="7"/>
  <c r="O621" i="7" s="1"/>
  <c r="N605" i="7"/>
  <c r="L605" i="7"/>
  <c r="J18" i="10" s="1"/>
  <c r="J29" i="10" s="1"/>
  <c r="K605" i="7"/>
  <c r="I18" i="10" s="1"/>
  <c r="I29" i="10" s="1"/>
  <c r="J605" i="7"/>
  <c r="I605" i="7"/>
  <c r="H605" i="7"/>
  <c r="G605" i="7"/>
  <c r="G621" i="7" s="1"/>
  <c r="F605" i="7"/>
  <c r="P605" i="7" s="1"/>
  <c r="Q605" i="7" s="1"/>
  <c r="R605" i="7" s="1"/>
  <c r="O604" i="7"/>
  <c r="N604" i="7"/>
  <c r="L604" i="7"/>
  <c r="K604" i="7"/>
  <c r="J604" i="7"/>
  <c r="G604" i="7"/>
  <c r="E604" i="7"/>
  <c r="R600" i="7"/>
  <c r="Q600" i="7"/>
  <c r="P600" i="7"/>
  <c r="O588" i="7"/>
  <c r="N588" i="7"/>
  <c r="M588" i="7"/>
  <c r="I588" i="7"/>
  <c r="P588" i="7" s="1"/>
  <c r="Q588" i="7" s="1"/>
  <c r="R588" i="7" s="1"/>
  <c r="H588" i="7"/>
  <c r="F18" i="10" s="1"/>
  <c r="F29" i="10" s="1"/>
  <c r="G588" i="7"/>
  <c r="F588" i="7"/>
  <c r="F604" i="7" s="1"/>
  <c r="O587" i="7"/>
  <c r="N587" i="7"/>
  <c r="M587" i="7"/>
  <c r="L587" i="7"/>
  <c r="K587" i="7"/>
  <c r="J587" i="7"/>
  <c r="I587" i="7"/>
  <c r="H587" i="7"/>
  <c r="G587" i="7"/>
  <c r="F587" i="7"/>
  <c r="P587" i="7" s="1"/>
  <c r="E587" i="7"/>
  <c r="P583" i="7"/>
  <c r="Q583" i="7" s="1"/>
  <c r="R583" i="7" s="1"/>
  <c r="P577" i="7"/>
  <c r="Q577" i="7" s="1"/>
  <c r="R577" i="7" s="1"/>
  <c r="O572" i="7"/>
  <c r="N572" i="7"/>
  <c r="G572" i="7"/>
  <c r="P572" i="7" s="1"/>
  <c r="Q572" i="7" s="1"/>
  <c r="R572" i="7" s="1"/>
  <c r="F572" i="7"/>
  <c r="M570" i="7"/>
  <c r="L570" i="7"/>
  <c r="K570" i="7"/>
  <c r="J570" i="7"/>
  <c r="I570" i="7"/>
  <c r="H570" i="7"/>
  <c r="E570" i="7"/>
  <c r="Q570" i="7" s="1"/>
  <c r="R570" i="7" s="1"/>
  <c r="O555" i="7"/>
  <c r="O570" i="7" s="1"/>
  <c r="N555" i="7"/>
  <c r="N570" i="7" s="1"/>
  <c r="M555" i="7"/>
  <c r="K19" i="10" s="1"/>
  <c r="G555" i="7"/>
  <c r="G570" i="7" s="1"/>
  <c r="F555" i="7"/>
  <c r="F570" i="7" s="1"/>
  <c r="P570" i="7" s="1"/>
  <c r="O553" i="7"/>
  <c r="M553" i="7"/>
  <c r="L553" i="7"/>
  <c r="K553" i="7"/>
  <c r="J553" i="7"/>
  <c r="I553" i="7"/>
  <c r="H553" i="7"/>
  <c r="G553" i="7"/>
  <c r="E553" i="7"/>
  <c r="G544" i="7"/>
  <c r="E24" i="10" s="1"/>
  <c r="F544" i="7"/>
  <c r="O538" i="7"/>
  <c r="N538" i="7"/>
  <c r="G538" i="7"/>
  <c r="F538" i="7"/>
  <c r="O536" i="7"/>
  <c r="N536" i="7"/>
  <c r="M536" i="7"/>
  <c r="L536" i="7"/>
  <c r="K536" i="7"/>
  <c r="J536" i="7"/>
  <c r="I536" i="7"/>
  <c r="H536" i="7"/>
  <c r="F536" i="7"/>
  <c r="E536" i="7"/>
  <c r="P532" i="7"/>
  <c r="Q532" i="7" s="1"/>
  <c r="R532" i="7" s="1"/>
  <c r="R530" i="7"/>
  <c r="Q530" i="7"/>
  <c r="P530" i="7"/>
  <c r="Q528" i="7"/>
  <c r="R528" i="7" s="1"/>
  <c r="P528" i="7"/>
  <c r="P527" i="7"/>
  <c r="Q527" i="7" s="1"/>
  <c r="R527" i="7" s="1"/>
  <c r="G526" i="7"/>
  <c r="P523" i="7"/>
  <c r="Q523" i="7" s="1"/>
  <c r="R523" i="7" s="1"/>
  <c r="O520" i="7"/>
  <c r="N520" i="7"/>
  <c r="M520" i="7"/>
  <c r="L520" i="7"/>
  <c r="K520" i="7"/>
  <c r="J520" i="7"/>
  <c r="I520" i="7"/>
  <c r="H520" i="7"/>
  <c r="G520" i="7"/>
  <c r="F520" i="7"/>
  <c r="E520" i="7"/>
  <c r="P517" i="7"/>
  <c r="Q517" i="7" s="1"/>
  <c r="R517" i="7" s="1"/>
  <c r="P515" i="7"/>
  <c r="Q515" i="7" s="1"/>
  <c r="R515" i="7" s="1"/>
  <c r="R506" i="7"/>
  <c r="Q506" i="7"/>
  <c r="P506" i="7"/>
  <c r="O502" i="7"/>
  <c r="N502" i="7"/>
  <c r="M502" i="7"/>
  <c r="L502" i="7"/>
  <c r="K502" i="7"/>
  <c r="J502" i="7"/>
  <c r="I502" i="7"/>
  <c r="H502" i="7"/>
  <c r="G502" i="7"/>
  <c r="F502" i="7"/>
  <c r="P502" i="7" s="1"/>
  <c r="E502" i="7"/>
  <c r="Q502" i="7" s="1"/>
  <c r="R502" i="7" s="1"/>
  <c r="P501" i="7"/>
  <c r="Q501" i="7" s="1"/>
  <c r="R501" i="7" s="1"/>
  <c r="R498" i="7"/>
  <c r="Q498" i="7"/>
  <c r="P498" i="7"/>
  <c r="M485" i="7"/>
  <c r="L485" i="7"/>
  <c r="K485" i="7"/>
  <c r="J485" i="7"/>
  <c r="I485" i="7"/>
  <c r="H485" i="7"/>
  <c r="G485" i="7"/>
  <c r="E485" i="7"/>
  <c r="P484" i="7"/>
  <c r="Q484" i="7" s="1"/>
  <c r="R484" i="7" s="1"/>
  <c r="R481" i="7"/>
  <c r="Q481" i="7"/>
  <c r="P481" i="7"/>
  <c r="R474" i="7"/>
  <c r="Q474" i="7"/>
  <c r="P474" i="7"/>
  <c r="F474" i="7"/>
  <c r="O469" i="7"/>
  <c r="O485" i="7" s="1"/>
  <c r="N469" i="7"/>
  <c r="N485" i="7" s="1"/>
  <c r="F469" i="7"/>
  <c r="M468" i="7"/>
  <c r="L468" i="7"/>
  <c r="K468" i="7"/>
  <c r="J468" i="7"/>
  <c r="I468" i="7"/>
  <c r="H468" i="7"/>
  <c r="G468" i="7"/>
  <c r="F468" i="7"/>
  <c r="E468" i="7"/>
  <c r="Q467" i="7"/>
  <c r="R467" i="7" s="1"/>
  <c r="P467" i="7"/>
  <c r="P466" i="7"/>
  <c r="Q466" i="7" s="1"/>
  <c r="R466" i="7" s="1"/>
  <c r="P464" i="7"/>
  <c r="Q464" i="7" s="1"/>
  <c r="R464" i="7" s="1"/>
  <c r="R459" i="7"/>
  <c r="Q459" i="7"/>
  <c r="P459" i="7"/>
  <c r="Q458" i="7"/>
  <c r="R458" i="7" s="1"/>
  <c r="P458" i="7"/>
  <c r="P457" i="7"/>
  <c r="Q457" i="7" s="1"/>
  <c r="R457" i="7" s="1"/>
  <c r="P453" i="7"/>
  <c r="Q453" i="7" s="1"/>
  <c r="R453" i="7" s="1"/>
  <c r="O453" i="7"/>
  <c r="O468" i="7" s="1"/>
  <c r="N453" i="7"/>
  <c r="N468" i="7" s="1"/>
  <c r="F453" i="7"/>
  <c r="O451" i="7"/>
  <c r="N451" i="7"/>
  <c r="M451" i="7"/>
  <c r="L451" i="7"/>
  <c r="K451" i="7"/>
  <c r="J451" i="7"/>
  <c r="I451" i="7"/>
  <c r="H451" i="7"/>
  <c r="P451" i="7" s="1"/>
  <c r="G451" i="7"/>
  <c r="F451" i="7"/>
  <c r="E451" i="7"/>
  <c r="P450" i="7"/>
  <c r="Q450" i="7" s="1"/>
  <c r="R450" i="7" s="1"/>
  <c r="Q448" i="7"/>
  <c r="R448" i="7" s="1"/>
  <c r="P448" i="7"/>
  <c r="Q447" i="7"/>
  <c r="R447" i="7" s="1"/>
  <c r="P447" i="7"/>
  <c r="Q440" i="7"/>
  <c r="R440" i="7" s="1"/>
  <c r="P440" i="7"/>
  <c r="O434" i="7"/>
  <c r="N434" i="7"/>
  <c r="M434" i="7"/>
  <c r="L434" i="7"/>
  <c r="K434" i="7"/>
  <c r="J434" i="7"/>
  <c r="I434" i="7"/>
  <c r="H434" i="7"/>
  <c r="P434" i="7" s="1"/>
  <c r="G434" i="7"/>
  <c r="F434" i="7"/>
  <c r="E434" i="7"/>
  <c r="R433" i="7"/>
  <c r="Q433" i="7"/>
  <c r="P433" i="7"/>
  <c r="P432" i="7"/>
  <c r="Q432" i="7" s="1"/>
  <c r="R432" i="7" s="1"/>
  <c r="P430" i="7"/>
  <c r="Q430" i="7" s="1"/>
  <c r="R430" i="7" s="1"/>
  <c r="Q418" i="7"/>
  <c r="R418" i="7" s="1"/>
  <c r="P418" i="7"/>
  <c r="N417" i="7"/>
  <c r="M417" i="7"/>
  <c r="L417" i="7"/>
  <c r="K417" i="7"/>
  <c r="J417" i="7"/>
  <c r="I417" i="7"/>
  <c r="H417" i="7"/>
  <c r="G417" i="7"/>
  <c r="E417" i="7"/>
  <c r="P416" i="7"/>
  <c r="Q416" i="7" s="1"/>
  <c r="R416" i="7" s="1"/>
  <c r="R415" i="7"/>
  <c r="Q415" i="7"/>
  <c r="P415" i="7"/>
  <c r="P413" i="7"/>
  <c r="Q413" i="7" s="1"/>
  <c r="R413" i="7" s="1"/>
  <c r="F413" i="7"/>
  <c r="Q407" i="7"/>
  <c r="R407" i="7" s="1"/>
  <c r="P407" i="7"/>
  <c r="Q406" i="7"/>
  <c r="R406" i="7" s="1"/>
  <c r="P406" i="7"/>
  <c r="F406" i="7"/>
  <c r="Q404" i="7"/>
  <c r="R404" i="7" s="1"/>
  <c r="P404" i="7"/>
  <c r="F404" i="7"/>
  <c r="Q401" i="7"/>
  <c r="R401" i="7" s="1"/>
  <c r="P401" i="7"/>
  <c r="O401" i="7"/>
  <c r="O417" i="7" s="1"/>
  <c r="N401" i="7"/>
  <c r="F401" i="7"/>
  <c r="F417" i="7" s="1"/>
  <c r="P417" i="7" s="1"/>
  <c r="O400" i="7"/>
  <c r="N400" i="7"/>
  <c r="M400" i="7"/>
  <c r="L400" i="7"/>
  <c r="K400" i="7"/>
  <c r="J400" i="7"/>
  <c r="I400" i="7"/>
  <c r="H400" i="7"/>
  <c r="G400" i="7"/>
  <c r="F400" i="7"/>
  <c r="E400" i="7"/>
  <c r="Q396" i="7"/>
  <c r="R396" i="7" s="1"/>
  <c r="P396" i="7"/>
  <c r="P387" i="7"/>
  <c r="Q387" i="7" s="1"/>
  <c r="R387" i="7" s="1"/>
  <c r="Q385" i="7"/>
  <c r="R385" i="7" s="1"/>
  <c r="P385" i="7"/>
  <c r="Q384" i="7"/>
  <c r="R384" i="7" s="1"/>
  <c r="P384" i="7"/>
  <c r="O384" i="7"/>
  <c r="N384" i="7"/>
  <c r="F384" i="7"/>
  <c r="O383" i="7"/>
  <c r="N383" i="7"/>
  <c r="M383" i="7"/>
  <c r="L383" i="7"/>
  <c r="K383" i="7"/>
  <c r="J383" i="7"/>
  <c r="I383" i="7"/>
  <c r="H383" i="7"/>
  <c r="G383" i="7"/>
  <c r="F383" i="7"/>
  <c r="P383" i="7" s="1"/>
  <c r="R379" i="7"/>
  <c r="Q379" i="7"/>
  <c r="P379" i="7"/>
  <c r="E379" i="7"/>
  <c r="C13" i="10" s="1"/>
  <c r="P373" i="7"/>
  <c r="Q373" i="7" s="1"/>
  <c r="R373" i="7" s="1"/>
  <c r="E373" i="7"/>
  <c r="C12" i="10" s="1"/>
  <c r="R372" i="7"/>
  <c r="Q372" i="7"/>
  <c r="P372" i="7"/>
  <c r="P370" i="7"/>
  <c r="Q370" i="7" s="1"/>
  <c r="R370" i="7" s="1"/>
  <c r="O366" i="7"/>
  <c r="N366" i="7"/>
  <c r="M366" i="7"/>
  <c r="L366" i="7"/>
  <c r="K366" i="7"/>
  <c r="J366" i="7"/>
  <c r="I366" i="7"/>
  <c r="H366" i="7"/>
  <c r="G366" i="7"/>
  <c r="P366" i="7" s="1"/>
  <c r="F366" i="7"/>
  <c r="E366" i="7"/>
  <c r="P364" i="7"/>
  <c r="Q364" i="7" s="1"/>
  <c r="R364" i="7" s="1"/>
  <c r="P362" i="7"/>
  <c r="Q362" i="7" s="1"/>
  <c r="R362" i="7" s="1"/>
  <c r="R355" i="7"/>
  <c r="P355" i="7"/>
  <c r="Q355" i="7" s="1"/>
  <c r="R351" i="7"/>
  <c r="Q351" i="7"/>
  <c r="P351" i="7"/>
  <c r="P350" i="7"/>
  <c r="Q350" i="7" s="1"/>
  <c r="R350" i="7" s="1"/>
  <c r="O349" i="7"/>
  <c r="N349" i="7"/>
  <c r="M349" i="7"/>
  <c r="L349" i="7"/>
  <c r="K349" i="7"/>
  <c r="J349" i="7"/>
  <c r="I349" i="7"/>
  <c r="H349" i="7"/>
  <c r="P349" i="7" s="1"/>
  <c r="Q349" i="7" s="1"/>
  <c r="R349" i="7" s="1"/>
  <c r="G349" i="7"/>
  <c r="F349" i="7"/>
  <c r="E349" i="7"/>
  <c r="R345" i="7"/>
  <c r="Q345" i="7"/>
  <c r="P345" i="7"/>
  <c r="R338" i="7"/>
  <c r="Q338" i="7"/>
  <c r="P338" i="7"/>
  <c r="Q335" i="7"/>
  <c r="R335" i="7" s="1"/>
  <c r="P335" i="7"/>
  <c r="R334" i="7"/>
  <c r="P334" i="7"/>
  <c r="Q334" i="7" s="1"/>
  <c r="O332" i="7"/>
  <c r="N332" i="7"/>
  <c r="M332" i="7"/>
  <c r="L332" i="7"/>
  <c r="K332" i="7"/>
  <c r="J332" i="7"/>
  <c r="I332" i="7"/>
  <c r="H332" i="7"/>
  <c r="G332" i="7"/>
  <c r="F332" i="7"/>
  <c r="E332" i="7"/>
  <c r="P328" i="7"/>
  <c r="Q328" i="7" s="1"/>
  <c r="R328" i="7" s="1"/>
  <c r="P322" i="7"/>
  <c r="Q322" i="7" s="1"/>
  <c r="R322" i="7" s="1"/>
  <c r="R319" i="7"/>
  <c r="Q319" i="7"/>
  <c r="P319" i="7"/>
  <c r="P317" i="7"/>
  <c r="Q317" i="7" s="1"/>
  <c r="R317" i="7" s="1"/>
  <c r="O315" i="7"/>
  <c r="N315" i="7"/>
  <c r="M315" i="7"/>
  <c r="L315" i="7"/>
  <c r="K315" i="7"/>
  <c r="J315" i="7"/>
  <c r="I315" i="7"/>
  <c r="H315" i="7"/>
  <c r="G315" i="7"/>
  <c r="P315" i="7" s="1"/>
  <c r="F315" i="7"/>
  <c r="E315" i="7"/>
  <c r="Q315" i="7" s="1"/>
  <c r="R315" i="7" s="1"/>
  <c r="R313" i="7"/>
  <c r="Q313" i="7"/>
  <c r="P313" i="7"/>
  <c r="O298" i="7"/>
  <c r="N298" i="7"/>
  <c r="M298" i="7"/>
  <c r="L298" i="7"/>
  <c r="K298" i="7"/>
  <c r="J298" i="7"/>
  <c r="I298" i="7"/>
  <c r="H298" i="7"/>
  <c r="P298" i="7" s="1"/>
  <c r="Q298" i="7" s="1"/>
  <c r="R298" i="7" s="1"/>
  <c r="G298" i="7"/>
  <c r="F298" i="7"/>
  <c r="E298" i="7"/>
  <c r="P288" i="7"/>
  <c r="Q288" i="7" s="1"/>
  <c r="R288" i="7" s="1"/>
  <c r="O281" i="7"/>
  <c r="N281" i="7"/>
  <c r="M281" i="7"/>
  <c r="L281" i="7"/>
  <c r="K281" i="7"/>
  <c r="J281" i="7"/>
  <c r="I281" i="7"/>
  <c r="H281" i="7"/>
  <c r="G281" i="7"/>
  <c r="F281" i="7"/>
  <c r="E281" i="7"/>
  <c r="Q270" i="7"/>
  <c r="R270" i="7" s="1"/>
  <c r="P270" i="7"/>
  <c r="O264" i="7"/>
  <c r="N264" i="7"/>
  <c r="M264" i="7"/>
  <c r="L264" i="7"/>
  <c r="K264" i="7"/>
  <c r="J264" i="7"/>
  <c r="I264" i="7"/>
  <c r="H264" i="7"/>
  <c r="G264" i="7"/>
  <c r="F264" i="7"/>
  <c r="P264" i="7" s="1"/>
  <c r="E264" i="7"/>
  <c r="R263" i="7"/>
  <c r="Q263" i="7"/>
  <c r="P263" i="7"/>
  <c r="Q262" i="7"/>
  <c r="R262" i="7" s="1"/>
  <c r="P262" i="7"/>
  <c r="P260" i="7"/>
  <c r="Q260" i="7" s="1"/>
  <c r="R260" i="7" s="1"/>
  <c r="R253" i="7"/>
  <c r="Q253" i="7"/>
  <c r="P253" i="7"/>
  <c r="O230" i="7"/>
  <c r="N230" i="7"/>
  <c r="M230" i="7"/>
  <c r="L230" i="7"/>
  <c r="K230" i="7"/>
  <c r="J230" i="7"/>
  <c r="I230" i="7"/>
  <c r="H230" i="7"/>
  <c r="G230" i="7"/>
  <c r="F230" i="7"/>
  <c r="P230" i="7" s="1"/>
  <c r="Q230" i="7" s="1"/>
  <c r="R230" i="7" s="1"/>
  <c r="E230" i="7"/>
  <c r="R227" i="7"/>
  <c r="P227" i="7"/>
  <c r="Q227" i="7" s="1"/>
  <c r="Q222" i="7"/>
  <c r="R222" i="7" s="1"/>
  <c r="P222" i="7"/>
  <c r="Q221" i="7"/>
  <c r="R221" i="7" s="1"/>
  <c r="P221" i="7"/>
  <c r="Q220" i="7"/>
  <c r="R220" i="7" s="1"/>
  <c r="P220" i="7"/>
  <c r="O196" i="7"/>
  <c r="N196" i="7"/>
  <c r="M196" i="7"/>
  <c r="L196" i="7"/>
  <c r="K196" i="7"/>
  <c r="J196" i="7"/>
  <c r="I196" i="7"/>
  <c r="H196" i="7"/>
  <c r="G196" i="7"/>
  <c r="F196" i="7"/>
  <c r="P196" i="7" s="1"/>
  <c r="E196" i="7"/>
  <c r="R195" i="7"/>
  <c r="Q195" i="7"/>
  <c r="P195" i="7"/>
  <c r="P192" i="7"/>
  <c r="Q192" i="7" s="1"/>
  <c r="R192" i="7" s="1"/>
  <c r="P185" i="7"/>
  <c r="Q185" i="7" s="1"/>
  <c r="R185" i="7" s="1"/>
  <c r="R183" i="7"/>
  <c r="Q183" i="7"/>
  <c r="P183" i="7"/>
  <c r="O179" i="7"/>
  <c r="N179" i="7"/>
  <c r="M179" i="7"/>
  <c r="L179" i="7"/>
  <c r="K179" i="7"/>
  <c r="J179" i="7"/>
  <c r="I179" i="7"/>
  <c r="H179" i="7"/>
  <c r="G179" i="7"/>
  <c r="F179" i="7"/>
  <c r="P179" i="7" s="1"/>
  <c r="E179" i="7"/>
  <c r="R177" i="7"/>
  <c r="P177" i="7"/>
  <c r="Q177" i="7" s="1"/>
  <c r="O145" i="7"/>
  <c r="N145" i="7"/>
  <c r="M145" i="7"/>
  <c r="L145" i="7"/>
  <c r="K145" i="7"/>
  <c r="J145" i="7"/>
  <c r="I145" i="7"/>
  <c r="H145" i="7"/>
  <c r="G145" i="7"/>
  <c r="F145" i="7"/>
  <c r="E145" i="7"/>
  <c r="Q143" i="7"/>
  <c r="R143" i="7" s="1"/>
  <c r="P143" i="7"/>
  <c r="O94" i="7"/>
  <c r="N94" i="7"/>
  <c r="M94" i="7"/>
  <c r="L94" i="7"/>
  <c r="K94" i="7"/>
  <c r="J94" i="7"/>
  <c r="I94" i="7"/>
  <c r="H94" i="7"/>
  <c r="G94" i="7"/>
  <c r="F94" i="7"/>
  <c r="P94" i="7" s="1"/>
  <c r="E94" i="7"/>
  <c r="Q84" i="7"/>
  <c r="R84" i="7" s="1"/>
  <c r="P84" i="7"/>
  <c r="Q83" i="7"/>
  <c r="R83" i="7" s="1"/>
  <c r="P83" i="7"/>
  <c r="P81" i="7"/>
  <c r="Q81" i="7" s="1"/>
  <c r="R81" i="7" s="1"/>
  <c r="O24" i="7"/>
  <c r="N24" i="7"/>
  <c r="M24" i="7"/>
  <c r="L24" i="7"/>
  <c r="K24" i="7"/>
  <c r="J24" i="7"/>
  <c r="I24" i="7"/>
  <c r="H24" i="7"/>
  <c r="G24" i="7"/>
  <c r="F24" i="7"/>
  <c r="E24" i="7"/>
  <c r="Q20" i="7"/>
  <c r="R20" i="7" s="1"/>
  <c r="P20" i="7"/>
  <c r="R13" i="7"/>
  <c r="P13" i="7"/>
  <c r="Q13" i="7" s="1"/>
  <c r="C1" i="7"/>
  <c r="O315" i="6"/>
  <c r="N315" i="6"/>
  <c r="M315" i="6"/>
  <c r="L315" i="6"/>
  <c r="K315" i="6"/>
  <c r="J315" i="6"/>
  <c r="I315" i="6"/>
  <c r="H315" i="6"/>
  <c r="G315" i="6"/>
  <c r="F315" i="6"/>
  <c r="E315" i="6"/>
  <c r="Q305" i="6"/>
  <c r="R305" i="6" s="1"/>
  <c r="P305" i="6"/>
  <c r="C300" i="6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O298" i="6"/>
  <c r="N298" i="6"/>
  <c r="M298" i="6"/>
  <c r="L298" i="6"/>
  <c r="K298" i="6"/>
  <c r="J298" i="6"/>
  <c r="I298" i="6"/>
  <c r="H298" i="6"/>
  <c r="G298" i="6"/>
  <c r="P298" i="6" s="1"/>
  <c r="F298" i="6"/>
  <c r="E298" i="6"/>
  <c r="P294" i="6"/>
  <c r="Q294" i="6" s="1"/>
  <c r="R294" i="6" s="1"/>
  <c r="P289" i="6"/>
  <c r="Q289" i="6" s="1"/>
  <c r="R289" i="6" s="1"/>
  <c r="R288" i="6"/>
  <c r="Q288" i="6"/>
  <c r="P288" i="6"/>
  <c r="C284" i="6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83" i="6"/>
  <c r="O281" i="6"/>
  <c r="N281" i="6"/>
  <c r="M281" i="6"/>
  <c r="L281" i="6"/>
  <c r="K281" i="6"/>
  <c r="J281" i="6"/>
  <c r="I281" i="6"/>
  <c r="H281" i="6"/>
  <c r="G281" i="6"/>
  <c r="F281" i="6"/>
  <c r="E281" i="6"/>
  <c r="Q277" i="6"/>
  <c r="R277" i="6" s="1"/>
  <c r="P277" i="6"/>
  <c r="C276" i="6"/>
  <c r="C277" i="6" s="1"/>
  <c r="C278" i="6" s="1"/>
  <c r="C279" i="6" s="1"/>
  <c r="C280" i="6" s="1"/>
  <c r="C281" i="6" s="1"/>
  <c r="P271" i="6"/>
  <c r="Q271" i="6" s="1"/>
  <c r="R271" i="6" s="1"/>
  <c r="C271" i="6"/>
  <c r="C272" i="6" s="1"/>
  <c r="C273" i="6" s="1"/>
  <c r="C274" i="6" s="1"/>
  <c r="C275" i="6" s="1"/>
  <c r="C266" i="6"/>
  <c r="C267" i="6" s="1"/>
  <c r="C268" i="6" s="1"/>
  <c r="C269" i="6" s="1"/>
  <c r="C270" i="6" s="1"/>
  <c r="O264" i="6"/>
  <c r="N264" i="6"/>
  <c r="M264" i="6"/>
  <c r="L264" i="6"/>
  <c r="K264" i="6"/>
  <c r="J264" i="6"/>
  <c r="I264" i="6"/>
  <c r="H264" i="6"/>
  <c r="P264" i="6" s="1"/>
  <c r="Q264" i="6" s="1"/>
  <c r="R264" i="6" s="1"/>
  <c r="G264" i="6"/>
  <c r="F264" i="6"/>
  <c r="E264" i="6"/>
  <c r="P263" i="6"/>
  <c r="Q263" i="6" s="1"/>
  <c r="R263" i="6" s="1"/>
  <c r="C263" i="6"/>
  <c r="C264" i="6" s="1"/>
  <c r="C255" i="6"/>
  <c r="C256" i="6" s="1"/>
  <c r="C257" i="6" s="1"/>
  <c r="C258" i="6" s="1"/>
  <c r="C259" i="6" s="1"/>
  <c r="C260" i="6" s="1"/>
  <c r="C261" i="6" s="1"/>
  <c r="C262" i="6" s="1"/>
  <c r="C250" i="6"/>
  <c r="C251" i="6" s="1"/>
  <c r="C252" i="6" s="1"/>
  <c r="C253" i="6" s="1"/>
  <c r="C254" i="6" s="1"/>
  <c r="C249" i="6"/>
  <c r="O247" i="6"/>
  <c r="N247" i="6"/>
  <c r="M247" i="6"/>
  <c r="L247" i="6"/>
  <c r="K247" i="6"/>
  <c r="J247" i="6"/>
  <c r="I247" i="6"/>
  <c r="H247" i="6"/>
  <c r="P247" i="6" s="1"/>
  <c r="Q247" i="6" s="1"/>
  <c r="R247" i="6" s="1"/>
  <c r="G247" i="6"/>
  <c r="F247" i="6"/>
  <c r="E247" i="6"/>
  <c r="C244" i="6"/>
  <c r="C245" i="6" s="1"/>
  <c r="C246" i="6" s="1"/>
  <c r="C247" i="6" s="1"/>
  <c r="R243" i="6"/>
  <c r="Q243" i="6"/>
  <c r="P243" i="6"/>
  <c r="R239" i="6"/>
  <c r="Q239" i="6"/>
  <c r="P239" i="6"/>
  <c r="Q238" i="6"/>
  <c r="R238" i="6" s="1"/>
  <c r="P238" i="6"/>
  <c r="R237" i="6"/>
  <c r="Q237" i="6"/>
  <c r="P237" i="6"/>
  <c r="P234" i="6"/>
  <c r="Q234" i="6" s="1"/>
  <c r="R234" i="6" s="1"/>
  <c r="C232" i="6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O230" i="6"/>
  <c r="N230" i="6"/>
  <c r="M230" i="6"/>
  <c r="L230" i="6"/>
  <c r="K230" i="6"/>
  <c r="J230" i="6"/>
  <c r="I230" i="6"/>
  <c r="H230" i="6"/>
  <c r="G230" i="6"/>
  <c r="F230" i="6"/>
  <c r="P230" i="6" s="1"/>
  <c r="Q230" i="6" s="1"/>
  <c r="R230" i="6" s="1"/>
  <c r="E230" i="6"/>
  <c r="P226" i="6"/>
  <c r="Q226" i="6" s="1"/>
  <c r="R226" i="6" s="1"/>
  <c r="P221" i="6"/>
  <c r="Q221" i="6" s="1"/>
  <c r="R221" i="6" s="1"/>
  <c r="Q220" i="6"/>
  <c r="R220" i="6" s="1"/>
  <c r="P220" i="6"/>
  <c r="C217" i="6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16" i="6"/>
  <c r="C215" i="6"/>
  <c r="O213" i="6"/>
  <c r="N213" i="6"/>
  <c r="M213" i="6"/>
  <c r="L213" i="6"/>
  <c r="K213" i="6"/>
  <c r="J213" i="6"/>
  <c r="I213" i="6"/>
  <c r="H213" i="6"/>
  <c r="G213" i="6"/>
  <c r="F213" i="6"/>
  <c r="P213" i="6" s="1"/>
  <c r="E213" i="6"/>
  <c r="P209" i="6"/>
  <c r="Q209" i="6" s="1"/>
  <c r="R209" i="6" s="1"/>
  <c r="P198" i="6"/>
  <c r="Q198" i="6" s="1"/>
  <c r="R198" i="6" s="1"/>
  <c r="C198" i="6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O196" i="6"/>
  <c r="N196" i="6"/>
  <c r="M196" i="6"/>
  <c r="L196" i="6"/>
  <c r="K196" i="6"/>
  <c r="J196" i="6"/>
  <c r="I196" i="6"/>
  <c r="H196" i="6"/>
  <c r="G196" i="6"/>
  <c r="F196" i="6"/>
  <c r="P195" i="6"/>
  <c r="Q195" i="6" s="1"/>
  <c r="R195" i="6" s="1"/>
  <c r="Q192" i="6"/>
  <c r="R192" i="6" s="1"/>
  <c r="P192" i="6"/>
  <c r="P187" i="6"/>
  <c r="E187" i="6"/>
  <c r="E196" i="6" s="1"/>
  <c r="C187" i="6"/>
  <c r="C188" i="6" s="1"/>
  <c r="C189" i="6" s="1"/>
  <c r="C190" i="6" s="1"/>
  <c r="C191" i="6" s="1"/>
  <c r="C192" i="6" s="1"/>
  <c r="C193" i="6" s="1"/>
  <c r="C194" i="6" s="1"/>
  <c r="C195" i="6" s="1"/>
  <c r="C196" i="6" s="1"/>
  <c r="P186" i="6"/>
  <c r="Q186" i="6" s="1"/>
  <c r="R186" i="6" s="1"/>
  <c r="C185" i="6"/>
  <c r="C186" i="6" s="1"/>
  <c r="C184" i="6"/>
  <c r="O179" i="6"/>
  <c r="N179" i="6"/>
  <c r="M179" i="6"/>
  <c r="L179" i="6"/>
  <c r="K179" i="6"/>
  <c r="J179" i="6"/>
  <c r="I179" i="6"/>
  <c r="H179" i="6"/>
  <c r="P179" i="6" s="1"/>
  <c r="Q179" i="6" s="1"/>
  <c r="R179" i="6" s="1"/>
  <c r="G179" i="6"/>
  <c r="F179" i="6"/>
  <c r="E179" i="6"/>
  <c r="P175" i="6"/>
  <c r="Q175" i="6" s="1"/>
  <c r="R175" i="6" s="1"/>
  <c r="Q169" i="6"/>
  <c r="R169" i="6" s="1"/>
  <c r="P169" i="6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65" i="6"/>
  <c r="C164" i="6"/>
  <c r="O162" i="6"/>
  <c r="N162" i="6"/>
  <c r="M162" i="6"/>
  <c r="L162" i="6"/>
  <c r="K162" i="6"/>
  <c r="J162" i="6"/>
  <c r="I162" i="6"/>
  <c r="H162" i="6"/>
  <c r="G162" i="6"/>
  <c r="F162" i="6"/>
  <c r="E162" i="6"/>
  <c r="P160" i="6"/>
  <c r="Q160" i="6" s="1"/>
  <c r="R160" i="6" s="1"/>
  <c r="C147" i="6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O145" i="6"/>
  <c r="N145" i="6"/>
  <c r="M145" i="6"/>
  <c r="L145" i="6"/>
  <c r="K145" i="6"/>
  <c r="J145" i="6"/>
  <c r="I145" i="6"/>
  <c r="H145" i="6"/>
  <c r="G145" i="6"/>
  <c r="F145" i="6"/>
  <c r="P145" i="6" s="1"/>
  <c r="Q145" i="6" s="1"/>
  <c r="R145" i="6" s="1"/>
  <c r="E145" i="6"/>
  <c r="P144" i="6"/>
  <c r="Q144" i="6" s="1"/>
  <c r="R144" i="6" s="1"/>
  <c r="P141" i="6"/>
  <c r="Q141" i="6" s="1"/>
  <c r="R141" i="6" s="1"/>
  <c r="C138" i="6"/>
  <c r="C139" i="6" s="1"/>
  <c r="C140" i="6" s="1"/>
  <c r="C141" i="6" s="1"/>
  <c r="C142" i="6" s="1"/>
  <c r="C143" i="6" s="1"/>
  <c r="C144" i="6" s="1"/>
  <c r="C145" i="6" s="1"/>
  <c r="C137" i="6"/>
  <c r="Q135" i="6"/>
  <c r="R135" i="6" s="1"/>
  <c r="P135" i="6"/>
  <c r="C132" i="6"/>
  <c r="C133" i="6" s="1"/>
  <c r="C134" i="6" s="1"/>
  <c r="C135" i="6" s="1"/>
  <c r="C136" i="6" s="1"/>
  <c r="C131" i="6"/>
  <c r="C130" i="6"/>
  <c r="O128" i="6"/>
  <c r="N128" i="6"/>
  <c r="M128" i="6"/>
  <c r="L128" i="6"/>
  <c r="K128" i="6"/>
  <c r="J128" i="6"/>
  <c r="I128" i="6"/>
  <c r="H128" i="6"/>
  <c r="G128" i="6"/>
  <c r="F128" i="6"/>
  <c r="P128" i="6" s="1"/>
  <c r="E128" i="6"/>
  <c r="P126" i="6"/>
  <c r="Q126" i="6" s="1"/>
  <c r="R126" i="6" s="1"/>
  <c r="R124" i="6"/>
  <c r="Q124" i="6"/>
  <c r="P124" i="6"/>
  <c r="C120" i="6"/>
  <c r="C121" i="6" s="1"/>
  <c r="C122" i="6" s="1"/>
  <c r="C123" i="6" s="1"/>
  <c r="C124" i="6" s="1"/>
  <c r="C125" i="6" s="1"/>
  <c r="C126" i="6" s="1"/>
  <c r="C127" i="6" s="1"/>
  <c r="C128" i="6" s="1"/>
  <c r="R119" i="6"/>
  <c r="Q119" i="6"/>
  <c r="P119" i="6"/>
  <c r="P117" i="6"/>
  <c r="E117" i="6"/>
  <c r="Q117" i="6" s="1"/>
  <c r="R117" i="6" s="1"/>
  <c r="C113" i="6"/>
  <c r="C114" i="6" s="1"/>
  <c r="C115" i="6" s="1"/>
  <c r="C116" i="6" s="1"/>
  <c r="C117" i="6" s="1"/>
  <c r="C118" i="6" s="1"/>
  <c r="C119" i="6" s="1"/>
  <c r="C112" i="6"/>
  <c r="O110" i="6"/>
  <c r="N110" i="6"/>
  <c r="M110" i="6"/>
  <c r="L110" i="6"/>
  <c r="K110" i="6"/>
  <c r="J110" i="6"/>
  <c r="I110" i="6"/>
  <c r="H110" i="6"/>
  <c r="P110" i="6" s="1"/>
  <c r="Q110" i="6" s="1"/>
  <c r="R110" i="6" s="1"/>
  <c r="G110" i="6"/>
  <c r="F110" i="6"/>
  <c r="E110" i="6"/>
  <c r="P106" i="6"/>
  <c r="Q106" i="6" s="1"/>
  <c r="R106" i="6" s="1"/>
  <c r="Q100" i="6"/>
  <c r="R100" i="6" s="1"/>
  <c r="P100" i="6"/>
  <c r="C97" i="6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96" i="6"/>
  <c r="C95" i="6"/>
  <c r="O93" i="6"/>
  <c r="N93" i="6"/>
  <c r="M93" i="6"/>
  <c r="L93" i="6"/>
  <c r="K93" i="6"/>
  <c r="J93" i="6"/>
  <c r="I93" i="6"/>
  <c r="H93" i="6"/>
  <c r="G93" i="6"/>
  <c r="F93" i="6"/>
  <c r="P93" i="6" s="1"/>
  <c r="E93" i="6"/>
  <c r="P89" i="6"/>
  <c r="Q89" i="6" s="1"/>
  <c r="R89" i="6" s="1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78" i="6"/>
  <c r="C79" i="6" s="1"/>
  <c r="C80" i="6" s="1"/>
  <c r="O76" i="6"/>
  <c r="N76" i="6"/>
  <c r="M76" i="6"/>
  <c r="L76" i="6"/>
  <c r="K76" i="6"/>
  <c r="J76" i="6"/>
  <c r="I76" i="6"/>
  <c r="H76" i="6"/>
  <c r="G76" i="6"/>
  <c r="F76" i="6"/>
  <c r="E76" i="6"/>
  <c r="Q74" i="6"/>
  <c r="R74" i="6" s="1"/>
  <c r="P74" i="6"/>
  <c r="R73" i="6"/>
  <c r="Q73" i="6"/>
  <c r="P73" i="6"/>
  <c r="Q72" i="6"/>
  <c r="R72" i="6" s="1"/>
  <c r="P72" i="6"/>
  <c r="P65" i="6"/>
  <c r="Q65" i="6" s="1"/>
  <c r="R65" i="6" s="1"/>
  <c r="C61" i="6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60" i="6"/>
  <c r="O58" i="6"/>
  <c r="N58" i="6"/>
  <c r="M58" i="6"/>
  <c r="L58" i="6"/>
  <c r="K58" i="6"/>
  <c r="J58" i="6"/>
  <c r="I58" i="6"/>
  <c r="H58" i="6"/>
  <c r="G58" i="6"/>
  <c r="F58" i="6"/>
  <c r="E58" i="6"/>
  <c r="Q57" i="6"/>
  <c r="R57" i="6" s="1"/>
  <c r="P57" i="6"/>
  <c r="Q54" i="6"/>
  <c r="R54" i="6" s="1"/>
  <c r="P54" i="6"/>
  <c r="Q49" i="6"/>
  <c r="R49" i="6" s="1"/>
  <c r="P49" i="6"/>
  <c r="C49" i="6"/>
  <c r="C50" i="6" s="1"/>
  <c r="C51" i="6" s="1"/>
  <c r="C52" i="6" s="1"/>
  <c r="C53" i="6" s="1"/>
  <c r="C54" i="6" s="1"/>
  <c r="C55" i="6" s="1"/>
  <c r="C56" i="6" s="1"/>
  <c r="C57" i="6" s="1"/>
  <c r="C58" i="6" s="1"/>
  <c r="R48" i="6"/>
  <c r="Q48" i="6"/>
  <c r="P48" i="6"/>
  <c r="C44" i="6"/>
  <c r="C45" i="6" s="1"/>
  <c r="C46" i="6" s="1"/>
  <c r="C47" i="6" s="1"/>
  <c r="C48" i="6" s="1"/>
  <c r="C43" i="6"/>
  <c r="O41" i="6"/>
  <c r="N41" i="6"/>
  <c r="M41" i="6"/>
  <c r="L41" i="6"/>
  <c r="K41" i="6"/>
  <c r="J41" i="6"/>
  <c r="I41" i="6"/>
  <c r="H41" i="6"/>
  <c r="G41" i="6"/>
  <c r="F41" i="6"/>
  <c r="E41" i="6"/>
  <c r="P37" i="6"/>
  <c r="Q37" i="6" s="1"/>
  <c r="R37" i="6" s="1"/>
  <c r="Q31" i="6"/>
  <c r="R31" i="6" s="1"/>
  <c r="P31" i="6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26" i="6"/>
  <c r="O24" i="6"/>
  <c r="N24" i="6"/>
  <c r="M24" i="6"/>
  <c r="L24" i="6"/>
  <c r="K24" i="6"/>
  <c r="J24" i="6"/>
  <c r="I24" i="6"/>
  <c r="H24" i="6"/>
  <c r="P24" i="6" s="1"/>
  <c r="Q24" i="6" s="1"/>
  <c r="R24" i="6" s="1"/>
  <c r="G24" i="6"/>
  <c r="F24" i="6"/>
  <c r="E24" i="6"/>
  <c r="R20" i="6"/>
  <c r="Q20" i="6"/>
  <c r="P20" i="6"/>
  <c r="P17" i="6"/>
  <c r="Q17" i="6" s="1"/>
  <c r="R17" i="6" s="1"/>
  <c r="P16" i="6"/>
  <c r="Q16" i="6" s="1"/>
  <c r="R16" i="6" s="1"/>
  <c r="P15" i="6"/>
  <c r="Q15" i="6" s="1"/>
  <c r="R15" i="6" s="1"/>
  <c r="P14" i="6"/>
  <c r="Q14" i="6" s="1"/>
  <c r="R14" i="6" s="1"/>
  <c r="P13" i="6"/>
  <c r="Q13" i="6" s="1"/>
  <c r="R13" i="6" s="1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9" i="6"/>
  <c r="C1" i="6"/>
  <c r="H233" i="5"/>
  <c r="M232" i="5"/>
  <c r="L232" i="5"/>
  <c r="K232" i="5"/>
  <c r="J232" i="5"/>
  <c r="I232" i="5"/>
  <c r="I56" i="4" s="1"/>
  <c r="H232" i="5"/>
  <c r="G232" i="5"/>
  <c r="F232" i="5"/>
  <c r="N232" i="5" s="1"/>
  <c r="O232" i="5" s="1"/>
  <c r="P232" i="5" s="1"/>
  <c r="E232" i="5"/>
  <c r="D232" i="5"/>
  <c r="C232" i="5"/>
  <c r="M231" i="5"/>
  <c r="L231" i="5"/>
  <c r="K231" i="5"/>
  <c r="J231" i="5"/>
  <c r="I231" i="5"/>
  <c r="H231" i="5"/>
  <c r="G231" i="5"/>
  <c r="F231" i="5"/>
  <c r="E231" i="5"/>
  <c r="D231" i="5"/>
  <c r="C231" i="5"/>
  <c r="M230" i="5"/>
  <c r="L230" i="5"/>
  <c r="K230" i="5"/>
  <c r="J230" i="5"/>
  <c r="I230" i="5"/>
  <c r="H230" i="5"/>
  <c r="G230" i="5"/>
  <c r="F230" i="5"/>
  <c r="E230" i="5"/>
  <c r="D230" i="5"/>
  <c r="C230" i="5"/>
  <c r="M229" i="5"/>
  <c r="L229" i="5"/>
  <c r="K229" i="5"/>
  <c r="J229" i="5"/>
  <c r="I229" i="5"/>
  <c r="H229" i="5"/>
  <c r="G229" i="5"/>
  <c r="F229" i="5"/>
  <c r="E229" i="5"/>
  <c r="N229" i="5" s="1"/>
  <c r="D229" i="5"/>
  <c r="C229" i="5"/>
  <c r="M228" i="5"/>
  <c r="L228" i="5"/>
  <c r="K228" i="5"/>
  <c r="J228" i="5"/>
  <c r="I228" i="5"/>
  <c r="I52" i="4" s="1"/>
  <c r="H228" i="5"/>
  <c r="G228" i="5"/>
  <c r="F228" i="5"/>
  <c r="E228" i="5"/>
  <c r="D228" i="5"/>
  <c r="C228" i="5"/>
  <c r="M227" i="5"/>
  <c r="L227" i="5"/>
  <c r="K227" i="5"/>
  <c r="J227" i="5"/>
  <c r="I227" i="5"/>
  <c r="H227" i="5"/>
  <c r="G227" i="5"/>
  <c r="G51" i="4" s="1"/>
  <c r="G25" i="3" s="1"/>
  <c r="F227" i="5"/>
  <c r="F51" i="4" s="1"/>
  <c r="E227" i="5"/>
  <c r="D227" i="5"/>
  <c r="C227" i="5"/>
  <c r="M226" i="5"/>
  <c r="L226" i="5"/>
  <c r="L50" i="4" s="1"/>
  <c r="K226" i="5"/>
  <c r="K50" i="4" s="1"/>
  <c r="K24" i="3" s="1"/>
  <c r="J226" i="5"/>
  <c r="I226" i="5"/>
  <c r="H226" i="5"/>
  <c r="G226" i="5"/>
  <c r="F226" i="5"/>
  <c r="E226" i="5"/>
  <c r="D226" i="5"/>
  <c r="M224" i="5"/>
  <c r="L224" i="5"/>
  <c r="K224" i="5"/>
  <c r="J224" i="5"/>
  <c r="J48" i="4" s="1"/>
  <c r="I224" i="5"/>
  <c r="I233" i="5" s="1"/>
  <c r="H224" i="5"/>
  <c r="G224" i="5"/>
  <c r="F224" i="5"/>
  <c r="E224" i="5"/>
  <c r="N224" i="5" s="1"/>
  <c r="D224" i="5"/>
  <c r="C224" i="5"/>
  <c r="M223" i="5"/>
  <c r="L223" i="5"/>
  <c r="K223" i="5"/>
  <c r="J223" i="5"/>
  <c r="I223" i="5"/>
  <c r="H223" i="5"/>
  <c r="H47" i="4" s="1"/>
  <c r="G223" i="5"/>
  <c r="F223" i="5"/>
  <c r="E223" i="5"/>
  <c r="D223" i="5"/>
  <c r="C223" i="5"/>
  <c r="M218" i="5"/>
  <c r="L218" i="5"/>
  <c r="K218" i="5"/>
  <c r="J218" i="5"/>
  <c r="I218" i="5"/>
  <c r="I42" i="4" s="1"/>
  <c r="H218" i="5"/>
  <c r="G218" i="5"/>
  <c r="F218" i="5"/>
  <c r="E218" i="5"/>
  <c r="D218" i="5"/>
  <c r="C218" i="5"/>
  <c r="M217" i="5"/>
  <c r="M41" i="4" s="1"/>
  <c r="L217" i="5"/>
  <c r="K217" i="5"/>
  <c r="H217" i="5"/>
  <c r="G217" i="5"/>
  <c r="F217" i="5"/>
  <c r="F222" i="5" s="1"/>
  <c r="E217" i="5"/>
  <c r="E41" i="4" s="1"/>
  <c r="D217" i="5"/>
  <c r="C217" i="5"/>
  <c r="C214" i="5"/>
  <c r="M213" i="5"/>
  <c r="I213" i="5"/>
  <c r="G213" i="5"/>
  <c r="G222" i="5" s="1"/>
  <c r="F213" i="5"/>
  <c r="E213" i="5"/>
  <c r="E222" i="5" s="1"/>
  <c r="M210" i="5"/>
  <c r="L210" i="5"/>
  <c r="K210" i="5"/>
  <c r="J210" i="5"/>
  <c r="I210" i="5"/>
  <c r="I45" i="4" s="1"/>
  <c r="H210" i="5"/>
  <c r="H45" i="4" s="1"/>
  <c r="G210" i="5"/>
  <c r="F210" i="5"/>
  <c r="E210" i="5"/>
  <c r="D210" i="5"/>
  <c r="C210" i="5"/>
  <c r="M209" i="5"/>
  <c r="L209" i="5"/>
  <c r="K209" i="5"/>
  <c r="J209" i="5"/>
  <c r="I209" i="5"/>
  <c r="H209" i="5"/>
  <c r="G209" i="5"/>
  <c r="G44" i="4" s="1"/>
  <c r="G18" i="3" s="1"/>
  <c r="F209" i="5"/>
  <c r="F44" i="4" s="1"/>
  <c r="E209" i="5"/>
  <c r="D209" i="5"/>
  <c r="C209" i="5"/>
  <c r="M208" i="5"/>
  <c r="M43" i="4" s="1"/>
  <c r="L208" i="5"/>
  <c r="L43" i="4" s="1"/>
  <c r="K208" i="5"/>
  <c r="J208" i="5"/>
  <c r="I208" i="5"/>
  <c r="H208" i="5"/>
  <c r="G208" i="5"/>
  <c r="F208" i="5"/>
  <c r="E208" i="5"/>
  <c r="E43" i="4" s="1"/>
  <c r="D208" i="5"/>
  <c r="C208" i="5"/>
  <c r="M207" i="5"/>
  <c r="L207" i="5"/>
  <c r="K207" i="5"/>
  <c r="K42" i="4" s="1"/>
  <c r="J207" i="5"/>
  <c r="J42" i="4" s="1"/>
  <c r="I207" i="5"/>
  <c r="G207" i="5"/>
  <c r="F207" i="5"/>
  <c r="E207" i="5"/>
  <c r="D207" i="5"/>
  <c r="C207" i="5"/>
  <c r="M206" i="5"/>
  <c r="L206" i="5"/>
  <c r="K206" i="5"/>
  <c r="J206" i="5"/>
  <c r="I206" i="5"/>
  <c r="H206" i="5"/>
  <c r="H41" i="4" s="1"/>
  <c r="G206" i="5"/>
  <c r="F206" i="5"/>
  <c r="E206" i="5"/>
  <c r="D206" i="5"/>
  <c r="C206" i="5"/>
  <c r="M205" i="5"/>
  <c r="K205" i="5"/>
  <c r="J205" i="5"/>
  <c r="H205" i="5"/>
  <c r="E205" i="5"/>
  <c r="C205" i="5"/>
  <c r="M204" i="5"/>
  <c r="M39" i="4" s="1"/>
  <c r="L204" i="5"/>
  <c r="L39" i="4" s="1"/>
  <c r="K204" i="5"/>
  <c r="J204" i="5"/>
  <c r="I204" i="5"/>
  <c r="H204" i="5"/>
  <c r="G204" i="5"/>
  <c r="M202" i="5"/>
  <c r="L202" i="5"/>
  <c r="K202" i="5"/>
  <c r="K211" i="5" s="1"/>
  <c r="J202" i="5"/>
  <c r="J211" i="5" s="1"/>
  <c r="I202" i="5"/>
  <c r="H202" i="5"/>
  <c r="G202" i="5"/>
  <c r="F202" i="5"/>
  <c r="E202" i="5"/>
  <c r="N202" i="5" s="1"/>
  <c r="D202" i="5"/>
  <c r="C202" i="5"/>
  <c r="M201" i="5"/>
  <c r="L201" i="5"/>
  <c r="K201" i="5"/>
  <c r="J201" i="5"/>
  <c r="I201" i="5"/>
  <c r="H201" i="5"/>
  <c r="G201" i="5"/>
  <c r="F201" i="5"/>
  <c r="E201" i="5"/>
  <c r="D201" i="5"/>
  <c r="M199" i="5"/>
  <c r="M45" i="4" s="1"/>
  <c r="L199" i="5"/>
  <c r="L45" i="4" s="1"/>
  <c r="K199" i="5"/>
  <c r="J199" i="5"/>
  <c r="I199" i="5"/>
  <c r="H199" i="5"/>
  <c r="G199" i="5"/>
  <c r="F199" i="5"/>
  <c r="E199" i="5"/>
  <c r="E45" i="4" s="1"/>
  <c r="D199" i="5"/>
  <c r="C199" i="5"/>
  <c r="M198" i="5"/>
  <c r="L198" i="5"/>
  <c r="K198" i="5"/>
  <c r="J198" i="5"/>
  <c r="J44" i="4" s="1"/>
  <c r="I198" i="5"/>
  <c r="H198" i="5"/>
  <c r="G198" i="5"/>
  <c r="F198" i="5"/>
  <c r="E198" i="5"/>
  <c r="D198" i="5"/>
  <c r="N198" i="5" s="1"/>
  <c r="C198" i="5"/>
  <c r="O198" i="5" s="1"/>
  <c r="M197" i="5"/>
  <c r="L197" i="5"/>
  <c r="K197" i="5"/>
  <c r="J197" i="5"/>
  <c r="I197" i="5"/>
  <c r="H197" i="5"/>
  <c r="H43" i="4" s="1"/>
  <c r="G197" i="5"/>
  <c r="F197" i="5"/>
  <c r="E197" i="5"/>
  <c r="D197" i="5"/>
  <c r="C197" i="5"/>
  <c r="M196" i="5"/>
  <c r="M42" i="4" s="1"/>
  <c r="L196" i="5"/>
  <c r="K196" i="5"/>
  <c r="J196" i="5"/>
  <c r="I196" i="5"/>
  <c r="H196" i="5"/>
  <c r="G196" i="5"/>
  <c r="F196" i="5"/>
  <c r="F42" i="4" s="1"/>
  <c r="E196" i="5"/>
  <c r="N196" i="5" s="1"/>
  <c r="O196" i="5" s="1"/>
  <c r="P196" i="5" s="1"/>
  <c r="D196" i="5"/>
  <c r="C196" i="5"/>
  <c r="M195" i="5"/>
  <c r="L195" i="5"/>
  <c r="L41" i="4" s="1"/>
  <c r="K195" i="5"/>
  <c r="J195" i="5"/>
  <c r="I195" i="5"/>
  <c r="H195" i="5"/>
  <c r="G195" i="5"/>
  <c r="F195" i="5"/>
  <c r="E195" i="5"/>
  <c r="D195" i="5"/>
  <c r="C195" i="5"/>
  <c r="M194" i="5"/>
  <c r="L194" i="5"/>
  <c r="K194" i="5"/>
  <c r="J194" i="5"/>
  <c r="J40" i="4" s="1"/>
  <c r="I194" i="5"/>
  <c r="H194" i="5"/>
  <c r="G194" i="5"/>
  <c r="F194" i="5"/>
  <c r="E194" i="5"/>
  <c r="D194" i="5"/>
  <c r="C194" i="5"/>
  <c r="M193" i="5"/>
  <c r="L193" i="5"/>
  <c r="K193" i="5"/>
  <c r="J193" i="5"/>
  <c r="I193" i="5"/>
  <c r="H193" i="5"/>
  <c r="H36" i="4" s="1"/>
  <c r="G193" i="5"/>
  <c r="F193" i="5"/>
  <c r="E193" i="5"/>
  <c r="D193" i="5"/>
  <c r="C193" i="5"/>
  <c r="M192" i="5"/>
  <c r="L192" i="5"/>
  <c r="K192" i="5"/>
  <c r="J192" i="5"/>
  <c r="I192" i="5"/>
  <c r="H192" i="5"/>
  <c r="G192" i="5"/>
  <c r="F192" i="5"/>
  <c r="F200" i="5" s="1"/>
  <c r="E192" i="5"/>
  <c r="D192" i="5"/>
  <c r="C192" i="5"/>
  <c r="M191" i="5"/>
  <c r="L191" i="5"/>
  <c r="K191" i="5"/>
  <c r="J191" i="5"/>
  <c r="I191" i="5"/>
  <c r="H191" i="5"/>
  <c r="G191" i="5"/>
  <c r="F191" i="5"/>
  <c r="N191" i="5" s="1"/>
  <c r="E191" i="5"/>
  <c r="D191" i="5"/>
  <c r="C191" i="5"/>
  <c r="M188" i="5"/>
  <c r="L188" i="5"/>
  <c r="K188" i="5"/>
  <c r="J188" i="5"/>
  <c r="I188" i="5"/>
  <c r="H188" i="5"/>
  <c r="G188" i="5"/>
  <c r="F188" i="5"/>
  <c r="N188" i="5" s="1"/>
  <c r="O188" i="5" s="1"/>
  <c r="P188" i="5" s="1"/>
  <c r="E188" i="5"/>
  <c r="D188" i="5"/>
  <c r="C188" i="5"/>
  <c r="M187" i="5"/>
  <c r="L187" i="5"/>
  <c r="K187" i="5"/>
  <c r="J187" i="5"/>
  <c r="I187" i="5"/>
  <c r="H187" i="5"/>
  <c r="G187" i="5"/>
  <c r="F187" i="5"/>
  <c r="E187" i="5"/>
  <c r="D187" i="5"/>
  <c r="N187" i="5" s="1"/>
  <c r="O187" i="5" s="1"/>
  <c r="P187" i="5" s="1"/>
  <c r="C187" i="5"/>
  <c r="M186" i="5"/>
  <c r="L186" i="5"/>
  <c r="K186" i="5"/>
  <c r="J186" i="5"/>
  <c r="I186" i="5"/>
  <c r="H186" i="5"/>
  <c r="G186" i="5"/>
  <c r="F186" i="5"/>
  <c r="E186" i="5"/>
  <c r="D186" i="5"/>
  <c r="C186" i="5"/>
  <c r="M185" i="5"/>
  <c r="L185" i="5"/>
  <c r="K185" i="5"/>
  <c r="J185" i="5"/>
  <c r="I185" i="5"/>
  <c r="I189" i="5" s="1"/>
  <c r="H185" i="5"/>
  <c r="H189" i="5" s="1"/>
  <c r="G185" i="5"/>
  <c r="F185" i="5"/>
  <c r="E185" i="5"/>
  <c r="D185" i="5"/>
  <c r="C185" i="5"/>
  <c r="M184" i="5"/>
  <c r="L184" i="5"/>
  <c r="K184" i="5"/>
  <c r="J184" i="5"/>
  <c r="I184" i="5"/>
  <c r="H184" i="5"/>
  <c r="G184" i="5"/>
  <c r="F184" i="5"/>
  <c r="N184" i="5" s="1"/>
  <c r="O184" i="5" s="1"/>
  <c r="P184" i="5" s="1"/>
  <c r="E184" i="5"/>
  <c r="D184" i="5"/>
  <c r="C184" i="5"/>
  <c r="M183" i="5"/>
  <c r="L183" i="5"/>
  <c r="K183" i="5"/>
  <c r="J183" i="5"/>
  <c r="I183" i="5"/>
  <c r="H183" i="5"/>
  <c r="G183" i="5"/>
  <c r="F183" i="5"/>
  <c r="E183" i="5"/>
  <c r="D183" i="5"/>
  <c r="N183" i="5" s="1"/>
  <c r="O183" i="5" s="1"/>
  <c r="P183" i="5" s="1"/>
  <c r="C183" i="5"/>
  <c r="M182" i="5"/>
  <c r="L182" i="5"/>
  <c r="K182" i="5"/>
  <c r="J182" i="5"/>
  <c r="I182" i="5"/>
  <c r="H182" i="5"/>
  <c r="G182" i="5"/>
  <c r="F182" i="5"/>
  <c r="E182" i="5"/>
  <c r="D182" i="5"/>
  <c r="N182" i="5" s="1"/>
  <c r="C182" i="5"/>
  <c r="O182" i="5" s="1"/>
  <c r="M180" i="5"/>
  <c r="L180" i="5"/>
  <c r="K180" i="5"/>
  <c r="J180" i="5"/>
  <c r="I180" i="5"/>
  <c r="H180" i="5"/>
  <c r="G180" i="5"/>
  <c r="F180" i="5"/>
  <c r="N180" i="5" s="1"/>
  <c r="O180" i="5" s="1"/>
  <c r="E180" i="5"/>
  <c r="D180" i="5"/>
  <c r="C180" i="5"/>
  <c r="M179" i="5"/>
  <c r="L179" i="5"/>
  <c r="L189" i="5" s="1"/>
  <c r="K179" i="5"/>
  <c r="K189" i="5" s="1"/>
  <c r="J179" i="5"/>
  <c r="J189" i="5" s="1"/>
  <c r="I179" i="5"/>
  <c r="H179" i="5"/>
  <c r="G179" i="5"/>
  <c r="F179" i="5"/>
  <c r="E179" i="5"/>
  <c r="D179" i="5"/>
  <c r="C179" i="5"/>
  <c r="M177" i="5"/>
  <c r="L177" i="5"/>
  <c r="K177" i="5"/>
  <c r="J177" i="5"/>
  <c r="I177" i="5"/>
  <c r="H177" i="5"/>
  <c r="G177" i="5"/>
  <c r="F177" i="5"/>
  <c r="E177" i="5"/>
  <c r="D177" i="5"/>
  <c r="C177" i="5"/>
  <c r="M176" i="5"/>
  <c r="L176" i="5"/>
  <c r="K176" i="5"/>
  <c r="J176" i="5"/>
  <c r="I176" i="5"/>
  <c r="H176" i="5"/>
  <c r="G176" i="5"/>
  <c r="F176" i="5"/>
  <c r="N176" i="5" s="1"/>
  <c r="E176" i="5"/>
  <c r="D176" i="5"/>
  <c r="C176" i="5"/>
  <c r="M175" i="5"/>
  <c r="L175" i="5"/>
  <c r="K175" i="5"/>
  <c r="J175" i="5"/>
  <c r="I175" i="5"/>
  <c r="H175" i="5"/>
  <c r="G175" i="5"/>
  <c r="F175" i="5"/>
  <c r="E175" i="5"/>
  <c r="D175" i="5"/>
  <c r="N175" i="5" s="1"/>
  <c r="C175" i="5"/>
  <c r="M174" i="5"/>
  <c r="L174" i="5"/>
  <c r="K174" i="5"/>
  <c r="J174" i="5"/>
  <c r="I174" i="5"/>
  <c r="H174" i="5"/>
  <c r="G174" i="5"/>
  <c r="F174" i="5"/>
  <c r="E174" i="5"/>
  <c r="D174" i="5"/>
  <c r="N174" i="5" s="1"/>
  <c r="C174" i="5"/>
  <c r="M173" i="5"/>
  <c r="L173" i="5"/>
  <c r="K173" i="5"/>
  <c r="J173" i="5"/>
  <c r="I173" i="5"/>
  <c r="H173" i="5"/>
  <c r="G173" i="5"/>
  <c r="F173" i="5"/>
  <c r="E173" i="5"/>
  <c r="D173" i="5"/>
  <c r="C173" i="5"/>
  <c r="M172" i="5"/>
  <c r="M27" i="4" s="1"/>
  <c r="M14" i="3" s="1"/>
  <c r="L172" i="5"/>
  <c r="K172" i="5"/>
  <c r="J172" i="5"/>
  <c r="I172" i="5"/>
  <c r="H172" i="5"/>
  <c r="G172" i="5"/>
  <c r="F172" i="5"/>
  <c r="E172" i="5"/>
  <c r="N172" i="5" s="1"/>
  <c r="D172" i="5"/>
  <c r="C172" i="5"/>
  <c r="M171" i="5"/>
  <c r="L171" i="5"/>
  <c r="K171" i="5"/>
  <c r="J171" i="5"/>
  <c r="I171" i="5"/>
  <c r="H171" i="5"/>
  <c r="G171" i="5"/>
  <c r="F171" i="5"/>
  <c r="E171" i="5"/>
  <c r="D171" i="5"/>
  <c r="C171" i="5"/>
  <c r="M170" i="5"/>
  <c r="L170" i="5"/>
  <c r="K170" i="5"/>
  <c r="J170" i="5"/>
  <c r="J178" i="5" s="1"/>
  <c r="I170" i="5"/>
  <c r="I178" i="5" s="1"/>
  <c r="H170" i="5"/>
  <c r="G170" i="5"/>
  <c r="F170" i="5"/>
  <c r="E170" i="5"/>
  <c r="D170" i="5"/>
  <c r="N170" i="5" s="1"/>
  <c r="C170" i="5"/>
  <c r="O170" i="5" s="1"/>
  <c r="P170" i="5" s="1"/>
  <c r="M169" i="5"/>
  <c r="L169" i="5"/>
  <c r="K169" i="5"/>
  <c r="J169" i="5"/>
  <c r="I169" i="5"/>
  <c r="H169" i="5"/>
  <c r="H22" i="4" s="1"/>
  <c r="G169" i="5"/>
  <c r="F169" i="5"/>
  <c r="E169" i="5"/>
  <c r="D169" i="5"/>
  <c r="M168" i="5"/>
  <c r="L168" i="5"/>
  <c r="K168" i="5"/>
  <c r="J168" i="5"/>
  <c r="I168" i="5"/>
  <c r="H168" i="5"/>
  <c r="G168" i="5"/>
  <c r="F168" i="5"/>
  <c r="F19" i="4" s="1"/>
  <c r="E168" i="5"/>
  <c r="D168" i="5"/>
  <c r="C168" i="5"/>
  <c r="M167" i="5"/>
  <c r="L167" i="5"/>
  <c r="K167" i="5"/>
  <c r="J167" i="5"/>
  <c r="I167" i="5"/>
  <c r="H167" i="5"/>
  <c r="G167" i="5"/>
  <c r="G178" i="5" s="1"/>
  <c r="F167" i="5"/>
  <c r="F178" i="5" s="1"/>
  <c r="E167" i="5"/>
  <c r="D167" i="5"/>
  <c r="C167" i="5"/>
  <c r="M165" i="5"/>
  <c r="L165" i="5"/>
  <c r="K165" i="5"/>
  <c r="J165" i="5"/>
  <c r="I165" i="5"/>
  <c r="H165" i="5"/>
  <c r="G165" i="5"/>
  <c r="F165" i="5"/>
  <c r="E165" i="5"/>
  <c r="D165" i="5"/>
  <c r="C165" i="5"/>
  <c r="M164" i="5"/>
  <c r="L164" i="5"/>
  <c r="K164" i="5"/>
  <c r="J164" i="5"/>
  <c r="I164" i="5"/>
  <c r="H164" i="5"/>
  <c r="G164" i="5"/>
  <c r="F164" i="5"/>
  <c r="E164" i="5"/>
  <c r="N164" i="5" s="1"/>
  <c r="D164" i="5"/>
  <c r="C164" i="5"/>
  <c r="M163" i="5"/>
  <c r="L163" i="5"/>
  <c r="K163" i="5"/>
  <c r="J163" i="5"/>
  <c r="I163" i="5"/>
  <c r="H163" i="5"/>
  <c r="G163" i="5"/>
  <c r="F163" i="5"/>
  <c r="E163" i="5"/>
  <c r="D163" i="5"/>
  <c r="N163" i="5" s="1"/>
  <c r="C163" i="5"/>
  <c r="M162" i="5"/>
  <c r="L162" i="5"/>
  <c r="K162" i="5"/>
  <c r="J162" i="5"/>
  <c r="I162" i="5"/>
  <c r="H162" i="5"/>
  <c r="G162" i="5"/>
  <c r="F162" i="5"/>
  <c r="E162" i="5"/>
  <c r="D162" i="5"/>
  <c r="C162" i="5"/>
  <c r="M161" i="5"/>
  <c r="L161" i="5"/>
  <c r="K161" i="5"/>
  <c r="J161" i="5"/>
  <c r="I161" i="5"/>
  <c r="H161" i="5"/>
  <c r="G161" i="5"/>
  <c r="F161" i="5"/>
  <c r="E161" i="5"/>
  <c r="D161" i="5"/>
  <c r="N161" i="5" s="1"/>
  <c r="O161" i="5" s="1"/>
  <c r="P161" i="5" s="1"/>
  <c r="C161" i="5"/>
  <c r="M160" i="5"/>
  <c r="L160" i="5"/>
  <c r="K160" i="5"/>
  <c r="J160" i="5"/>
  <c r="I160" i="5"/>
  <c r="H160" i="5"/>
  <c r="G160" i="5"/>
  <c r="F160" i="5"/>
  <c r="E160" i="5"/>
  <c r="N160" i="5" s="1"/>
  <c r="D160" i="5"/>
  <c r="C160" i="5"/>
  <c r="M159" i="5"/>
  <c r="L159" i="5"/>
  <c r="K159" i="5"/>
  <c r="K26" i="4" s="1"/>
  <c r="J159" i="5"/>
  <c r="I159" i="5"/>
  <c r="H159" i="5"/>
  <c r="G159" i="5"/>
  <c r="F159" i="5"/>
  <c r="E159" i="5"/>
  <c r="D159" i="5"/>
  <c r="C159" i="5"/>
  <c r="M158" i="5"/>
  <c r="L158" i="5"/>
  <c r="K158" i="5"/>
  <c r="J158" i="5"/>
  <c r="J166" i="5" s="1"/>
  <c r="I158" i="5"/>
  <c r="I166" i="5" s="1"/>
  <c r="H158" i="5"/>
  <c r="G158" i="5"/>
  <c r="F158" i="5"/>
  <c r="E158" i="5"/>
  <c r="D158" i="5"/>
  <c r="C158" i="5"/>
  <c r="M157" i="5"/>
  <c r="L157" i="5"/>
  <c r="K157" i="5"/>
  <c r="J157" i="5"/>
  <c r="I157" i="5"/>
  <c r="H157" i="5"/>
  <c r="G157" i="5"/>
  <c r="F157" i="5"/>
  <c r="E157" i="5"/>
  <c r="D157" i="5"/>
  <c r="N157" i="5" s="1"/>
  <c r="O157" i="5" s="1"/>
  <c r="P157" i="5" s="1"/>
  <c r="C157" i="5"/>
  <c r="M156" i="5"/>
  <c r="L156" i="5"/>
  <c r="K156" i="5"/>
  <c r="J156" i="5"/>
  <c r="I156" i="5"/>
  <c r="H156" i="5"/>
  <c r="G156" i="5"/>
  <c r="F156" i="5"/>
  <c r="N156" i="5" s="1"/>
  <c r="E156" i="5"/>
  <c r="D156" i="5"/>
  <c r="C156" i="5"/>
  <c r="M155" i="5"/>
  <c r="L155" i="5"/>
  <c r="K155" i="5"/>
  <c r="J155" i="5"/>
  <c r="I155" i="5"/>
  <c r="H155" i="5"/>
  <c r="G155" i="5"/>
  <c r="F155" i="5"/>
  <c r="E155" i="5"/>
  <c r="D155" i="5"/>
  <c r="C155" i="5"/>
  <c r="M153" i="5"/>
  <c r="L153" i="5"/>
  <c r="K153" i="5"/>
  <c r="J153" i="5"/>
  <c r="I153" i="5"/>
  <c r="H153" i="5"/>
  <c r="G153" i="5"/>
  <c r="F153" i="5"/>
  <c r="E153" i="5"/>
  <c r="D153" i="5"/>
  <c r="N153" i="5" s="1"/>
  <c r="O153" i="5" s="1"/>
  <c r="P153" i="5" s="1"/>
  <c r="C153" i="5"/>
  <c r="M152" i="5"/>
  <c r="M31" i="4" s="1"/>
  <c r="L152" i="5"/>
  <c r="K152" i="5"/>
  <c r="J152" i="5"/>
  <c r="I152" i="5"/>
  <c r="H152" i="5"/>
  <c r="G152" i="5"/>
  <c r="F152" i="5"/>
  <c r="E152" i="5"/>
  <c r="N152" i="5" s="1"/>
  <c r="O152" i="5" s="1"/>
  <c r="P152" i="5" s="1"/>
  <c r="D152" i="5"/>
  <c r="C152" i="5"/>
  <c r="M151" i="5"/>
  <c r="L151" i="5"/>
  <c r="K151" i="5"/>
  <c r="J151" i="5"/>
  <c r="I151" i="5"/>
  <c r="H151" i="5"/>
  <c r="G151" i="5"/>
  <c r="F151" i="5"/>
  <c r="E151" i="5"/>
  <c r="D151" i="5"/>
  <c r="C151" i="5"/>
  <c r="M150" i="5"/>
  <c r="L150" i="5"/>
  <c r="K150" i="5"/>
  <c r="J150" i="5"/>
  <c r="I150" i="5"/>
  <c r="H150" i="5"/>
  <c r="G150" i="5"/>
  <c r="F150" i="5"/>
  <c r="E150" i="5"/>
  <c r="D150" i="5"/>
  <c r="N150" i="5" s="1"/>
  <c r="C150" i="5"/>
  <c r="O150" i="5" s="1"/>
  <c r="P150" i="5" s="1"/>
  <c r="M149" i="5"/>
  <c r="L149" i="5"/>
  <c r="K149" i="5"/>
  <c r="J149" i="5"/>
  <c r="I149" i="5"/>
  <c r="H149" i="5"/>
  <c r="G149" i="5"/>
  <c r="F149" i="5"/>
  <c r="E149" i="5"/>
  <c r="D149" i="5"/>
  <c r="C149" i="5"/>
  <c r="M148" i="5"/>
  <c r="L148" i="5"/>
  <c r="K148" i="5"/>
  <c r="J148" i="5"/>
  <c r="I148" i="5"/>
  <c r="H148" i="5"/>
  <c r="G148" i="5"/>
  <c r="F148" i="5"/>
  <c r="E148" i="5"/>
  <c r="N148" i="5" s="1"/>
  <c r="O148" i="5" s="1"/>
  <c r="P148" i="5" s="1"/>
  <c r="D148" i="5"/>
  <c r="C148" i="5"/>
  <c r="M147" i="5"/>
  <c r="L147" i="5"/>
  <c r="K147" i="5"/>
  <c r="J147" i="5"/>
  <c r="I147" i="5"/>
  <c r="H147" i="5"/>
  <c r="G147" i="5"/>
  <c r="F147" i="5"/>
  <c r="E147" i="5"/>
  <c r="D147" i="5"/>
  <c r="C147" i="5"/>
  <c r="M145" i="5"/>
  <c r="L145" i="5"/>
  <c r="K145" i="5"/>
  <c r="J145" i="5"/>
  <c r="J154" i="5" s="1"/>
  <c r="I145" i="5"/>
  <c r="I22" i="4" s="1"/>
  <c r="H145" i="5"/>
  <c r="G145" i="5"/>
  <c r="F145" i="5"/>
  <c r="E145" i="5"/>
  <c r="D145" i="5"/>
  <c r="C145" i="5"/>
  <c r="M144" i="5"/>
  <c r="L144" i="5"/>
  <c r="K144" i="5"/>
  <c r="J144" i="5"/>
  <c r="I144" i="5"/>
  <c r="H144" i="5"/>
  <c r="G144" i="5"/>
  <c r="G154" i="5" s="1"/>
  <c r="F144" i="5"/>
  <c r="E144" i="5"/>
  <c r="D144" i="5"/>
  <c r="C144" i="5"/>
  <c r="F143" i="5"/>
  <c r="E143" i="5"/>
  <c r="M142" i="5"/>
  <c r="L142" i="5"/>
  <c r="K142" i="5"/>
  <c r="J142" i="5"/>
  <c r="I142" i="5"/>
  <c r="H142" i="5"/>
  <c r="G142" i="5"/>
  <c r="F142" i="5"/>
  <c r="E142" i="5"/>
  <c r="D142" i="5"/>
  <c r="C142" i="5"/>
  <c r="M141" i="5"/>
  <c r="L141" i="5"/>
  <c r="K141" i="5"/>
  <c r="J141" i="5"/>
  <c r="J31" i="4" s="1"/>
  <c r="I141" i="5"/>
  <c r="I31" i="4" s="1"/>
  <c r="H141" i="5"/>
  <c r="G141" i="5"/>
  <c r="F141" i="5"/>
  <c r="E141" i="5"/>
  <c r="D141" i="5"/>
  <c r="C141" i="5"/>
  <c r="M139" i="5"/>
  <c r="L139" i="5"/>
  <c r="K139" i="5"/>
  <c r="J139" i="5"/>
  <c r="I139" i="5"/>
  <c r="H139" i="5"/>
  <c r="G139" i="5"/>
  <c r="F139" i="5"/>
  <c r="E139" i="5"/>
  <c r="D139" i="5"/>
  <c r="C139" i="5"/>
  <c r="M137" i="5"/>
  <c r="L137" i="5"/>
  <c r="K137" i="5"/>
  <c r="J137" i="5"/>
  <c r="I137" i="5"/>
  <c r="H137" i="5"/>
  <c r="G137" i="5"/>
  <c r="F137" i="5"/>
  <c r="E137" i="5"/>
  <c r="N137" i="5" s="1"/>
  <c r="D137" i="5"/>
  <c r="C137" i="5"/>
  <c r="M136" i="5"/>
  <c r="L136" i="5"/>
  <c r="K136" i="5"/>
  <c r="J136" i="5"/>
  <c r="I136" i="5"/>
  <c r="H136" i="5"/>
  <c r="G136" i="5"/>
  <c r="F136" i="5"/>
  <c r="E136" i="5"/>
  <c r="D136" i="5"/>
  <c r="N136" i="5" s="1"/>
  <c r="C136" i="5"/>
  <c r="M135" i="5"/>
  <c r="L135" i="5"/>
  <c r="K135" i="5"/>
  <c r="J135" i="5"/>
  <c r="I135" i="5"/>
  <c r="I23" i="4" s="1"/>
  <c r="H135" i="5"/>
  <c r="G135" i="5"/>
  <c r="F135" i="5"/>
  <c r="E135" i="5"/>
  <c r="D135" i="5"/>
  <c r="C135" i="5"/>
  <c r="M134" i="5"/>
  <c r="L134" i="5"/>
  <c r="K134" i="5"/>
  <c r="J134" i="5"/>
  <c r="I134" i="5"/>
  <c r="H134" i="5"/>
  <c r="G134" i="5"/>
  <c r="F134" i="5"/>
  <c r="E134" i="5"/>
  <c r="D134" i="5"/>
  <c r="C134" i="5"/>
  <c r="M133" i="5"/>
  <c r="M20" i="4" s="1"/>
  <c r="L133" i="5"/>
  <c r="K133" i="5"/>
  <c r="J133" i="5"/>
  <c r="I133" i="5"/>
  <c r="H133" i="5"/>
  <c r="G133" i="5"/>
  <c r="F133" i="5"/>
  <c r="F20" i="4" s="1"/>
  <c r="E133" i="5"/>
  <c r="E20" i="4" s="1"/>
  <c r="D133" i="5"/>
  <c r="C133" i="5"/>
  <c r="M132" i="5"/>
  <c r="L132" i="5"/>
  <c r="L143" i="5" s="1"/>
  <c r="K132" i="5"/>
  <c r="K143" i="5" s="1"/>
  <c r="J132" i="5"/>
  <c r="I132" i="5"/>
  <c r="H132" i="5"/>
  <c r="G132" i="5"/>
  <c r="F132" i="5"/>
  <c r="E132" i="5"/>
  <c r="D132" i="5"/>
  <c r="C132" i="5"/>
  <c r="M130" i="5"/>
  <c r="L130" i="5"/>
  <c r="K130" i="5"/>
  <c r="J130" i="5"/>
  <c r="I130" i="5"/>
  <c r="H130" i="5"/>
  <c r="G130" i="5"/>
  <c r="F130" i="5"/>
  <c r="E130" i="5"/>
  <c r="D130" i="5"/>
  <c r="N130" i="5" s="1"/>
  <c r="O130" i="5" s="1"/>
  <c r="P130" i="5" s="1"/>
  <c r="C130" i="5"/>
  <c r="M129" i="5"/>
  <c r="L129" i="5"/>
  <c r="K129" i="5"/>
  <c r="J129" i="5"/>
  <c r="I129" i="5"/>
  <c r="H129" i="5"/>
  <c r="G129" i="5"/>
  <c r="F129" i="5"/>
  <c r="N129" i="5" s="1"/>
  <c r="E129" i="5"/>
  <c r="D129" i="5"/>
  <c r="C129" i="5"/>
  <c r="M128" i="5"/>
  <c r="L128" i="5"/>
  <c r="K128" i="5"/>
  <c r="K30" i="4" s="1"/>
  <c r="J128" i="5"/>
  <c r="I128" i="5"/>
  <c r="H128" i="5"/>
  <c r="G128" i="5"/>
  <c r="F128" i="5"/>
  <c r="E128" i="5"/>
  <c r="D128" i="5"/>
  <c r="C128" i="5"/>
  <c r="M127" i="5"/>
  <c r="L127" i="5"/>
  <c r="K127" i="5"/>
  <c r="J127" i="5"/>
  <c r="I127" i="5"/>
  <c r="H127" i="5"/>
  <c r="G127" i="5"/>
  <c r="F127" i="5"/>
  <c r="E127" i="5"/>
  <c r="D127" i="5"/>
  <c r="N127" i="5" s="1"/>
  <c r="C127" i="5"/>
  <c r="M126" i="5"/>
  <c r="L126" i="5"/>
  <c r="K126" i="5"/>
  <c r="J126" i="5"/>
  <c r="I126" i="5"/>
  <c r="H126" i="5"/>
  <c r="G126" i="5"/>
  <c r="F126" i="5"/>
  <c r="E126" i="5"/>
  <c r="D126" i="5"/>
  <c r="C126" i="5"/>
  <c r="M125" i="5"/>
  <c r="L125" i="5"/>
  <c r="K125" i="5"/>
  <c r="J125" i="5"/>
  <c r="I125" i="5"/>
  <c r="H125" i="5"/>
  <c r="G125" i="5"/>
  <c r="F125" i="5"/>
  <c r="N125" i="5" s="1"/>
  <c r="E125" i="5"/>
  <c r="D125" i="5"/>
  <c r="C125" i="5"/>
  <c r="M124" i="5"/>
  <c r="L124" i="5"/>
  <c r="K124" i="5"/>
  <c r="J124" i="5"/>
  <c r="I124" i="5"/>
  <c r="H124" i="5"/>
  <c r="G124" i="5"/>
  <c r="F124" i="5"/>
  <c r="E124" i="5"/>
  <c r="D124" i="5"/>
  <c r="N124" i="5" s="1"/>
  <c r="C124" i="5"/>
  <c r="M123" i="5"/>
  <c r="L123" i="5"/>
  <c r="K123" i="5"/>
  <c r="J123" i="5"/>
  <c r="J25" i="4" s="1"/>
  <c r="I123" i="5"/>
  <c r="I131" i="5" s="1"/>
  <c r="H123" i="5"/>
  <c r="G123" i="5"/>
  <c r="F123" i="5"/>
  <c r="E123" i="5"/>
  <c r="D123" i="5"/>
  <c r="N123" i="5" s="1"/>
  <c r="C123" i="5"/>
  <c r="M122" i="5"/>
  <c r="L122" i="5"/>
  <c r="K122" i="5"/>
  <c r="J122" i="5"/>
  <c r="I122" i="5"/>
  <c r="H122" i="5"/>
  <c r="G122" i="5"/>
  <c r="F122" i="5"/>
  <c r="E122" i="5"/>
  <c r="D122" i="5"/>
  <c r="C122" i="5"/>
  <c r="M121" i="5"/>
  <c r="M131" i="5" s="1"/>
  <c r="L121" i="5"/>
  <c r="L131" i="5" s="1"/>
  <c r="K121" i="5"/>
  <c r="J121" i="5"/>
  <c r="I121" i="5"/>
  <c r="H121" i="5"/>
  <c r="G121" i="5"/>
  <c r="F121" i="5"/>
  <c r="E121" i="5"/>
  <c r="E131" i="5" s="1"/>
  <c r="D121" i="5"/>
  <c r="D131" i="5" s="1"/>
  <c r="C121" i="5"/>
  <c r="M117" i="5"/>
  <c r="L117" i="5"/>
  <c r="K117" i="5"/>
  <c r="J117" i="5"/>
  <c r="I117" i="5"/>
  <c r="H117" i="5"/>
  <c r="G117" i="5"/>
  <c r="F117" i="5"/>
  <c r="E117" i="5"/>
  <c r="D117" i="5"/>
  <c r="N117" i="5" s="1"/>
  <c r="C117" i="5"/>
  <c r="M116" i="5"/>
  <c r="L116" i="5"/>
  <c r="K116" i="5"/>
  <c r="J116" i="5"/>
  <c r="I116" i="5"/>
  <c r="H116" i="5"/>
  <c r="G116" i="5"/>
  <c r="F116" i="5"/>
  <c r="E116" i="5"/>
  <c r="D116" i="5"/>
  <c r="C116" i="5"/>
  <c r="M115" i="5"/>
  <c r="L115" i="5"/>
  <c r="K115" i="5"/>
  <c r="J115" i="5"/>
  <c r="I115" i="5"/>
  <c r="H115" i="5"/>
  <c r="G115" i="5"/>
  <c r="F115" i="5"/>
  <c r="F29" i="4" s="1"/>
  <c r="E115" i="5"/>
  <c r="N115" i="5" s="1"/>
  <c r="D115" i="5"/>
  <c r="C115" i="5"/>
  <c r="M114" i="5"/>
  <c r="L114" i="5"/>
  <c r="K114" i="5"/>
  <c r="J114" i="5"/>
  <c r="I114" i="5"/>
  <c r="H114" i="5"/>
  <c r="G114" i="5"/>
  <c r="F114" i="5"/>
  <c r="E114" i="5"/>
  <c r="D114" i="5"/>
  <c r="C114" i="5"/>
  <c r="M113" i="5"/>
  <c r="L113" i="5"/>
  <c r="K113" i="5"/>
  <c r="J113" i="5"/>
  <c r="I113" i="5"/>
  <c r="H113" i="5"/>
  <c r="G113" i="5"/>
  <c r="F113" i="5"/>
  <c r="E113" i="5"/>
  <c r="D113" i="5"/>
  <c r="N113" i="5" s="1"/>
  <c r="C113" i="5"/>
  <c r="O113" i="5" s="1"/>
  <c r="P113" i="5" s="1"/>
  <c r="M112" i="5"/>
  <c r="L112" i="5"/>
  <c r="K112" i="5"/>
  <c r="J112" i="5"/>
  <c r="I112" i="5"/>
  <c r="H112" i="5"/>
  <c r="H26" i="4" s="1"/>
  <c r="H13" i="3" s="1"/>
  <c r="H13" i="2" s="1"/>
  <c r="G112" i="5"/>
  <c r="F112" i="5"/>
  <c r="E112" i="5"/>
  <c r="D112" i="5"/>
  <c r="C112" i="5"/>
  <c r="M110" i="5"/>
  <c r="L110" i="5"/>
  <c r="K110" i="5"/>
  <c r="J110" i="5"/>
  <c r="I110" i="5"/>
  <c r="H110" i="5"/>
  <c r="G110" i="5"/>
  <c r="F110" i="5"/>
  <c r="E110" i="5"/>
  <c r="N110" i="5" s="1"/>
  <c r="D110" i="5"/>
  <c r="C110" i="5"/>
  <c r="M109" i="5"/>
  <c r="L109" i="5"/>
  <c r="L119" i="5" s="1"/>
  <c r="K109" i="5"/>
  <c r="K119" i="5" s="1"/>
  <c r="J109" i="5"/>
  <c r="I109" i="5"/>
  <c r="H109" i="5"/>
  <c r="G109" i="5"/>
  <c r="G119" i="5" s="1"/>
  <c r="F109" i="5"/>
  <c r="E109" i="5"/>
  <c r="D109" i="5"/>
  <c r="N109" i="5" s="1"/>
  <c r="C109" i="5"/>
  <c r="C119" i="5" s="1"/>
  <c r="J108" i="5"/>
  <c r="M107" i="5"/>
  <c r="L107" i="5"/>
  <c r="K107" i="5"/>
  <c r="J107" i="5"/>
  <c r="I107" i="5"/>
  <c r="H107" i="5"/>
  <c r="G107" i="5"/>
  <c r="G32" i="4" s="1"/>
  <c r="F107" i="5"/>
  <c r="E107" i="5"/>
  <c r="D107" i="5"/>
  <c r="C107" i="5"/>
  <c r="M106" i="5"/>
  <c r="L106" i="5"/>
  <c r="K106" i="5"/>
  <c r="J106" i="5"/>
  <c r="I106" i="5"/>
  <c r="H106" i="5"/>
  <c r="G106" i="5"/>
  <c r="F106" i="5"/>
  <c r="E106" i="5"/>
  <c r="N106" i="5" s="1"/>
  <c r="D106" i="5"/>
  <c r="C106" i="5"/>
  <c r="M105" i="5"/>
  <c r="L105" i="5"/>
  <c r="K105" i="5"/>
  <c r="J105" i="5"/>
  <c r="I105" i="5"/>
  <c r="H105" i="5"/>
  <c r="G105" i="5"/>
  <c r="F105" i="5"/>
  <c r="E105" i="5"/>
  <c r="D105" i="5"/>
  <c r="C105" i="5"/>
  <c r="M104" i="5"/>
  <c r="L104" i="5"/>
  <c r="K104" i="5"/>
  <c r="J104" i="5"/>
  <c r="J29" i="4" s="1"/>
  <c r="I104" i="5"/>
  <c r="H104" i="5"/>
  <c r="G104" i="5"/>
  <c r="F104" i="5"/>
  <c r="E104" i="5"/>
  <c r="D104" i="5"/>
  <c r="C104" i="5"/>
  <c r="M103" i="5"/>
  <c r="L103" i="5"/>
  <c r="K103" i="5"/>
  <c r="J103" i="5"/>
  <c r="I103" i="5"/>
  <c r="H103" i="5"/>
  <c r="G103" i="5"/>
  <c r="F103" i="5"/>
  <c r="E103" i="5"/>
  <c r="C103" i="5"/>
  <c r="M102" i="5"/>
  <c r="L102" i="5"/>
  <c r="K102" i="5"/>
  <c r="J102" i="5"/>
  <c r="I102" i="5"/>
  <c r="H102" i="5"/>
  <c r="G102" i="5"/>
  <c r="F102" i="5"/>
  <c r="D102" i="5"/>
  <c r="C102" i="5"/>
  <c r="M101" i="5"/>
  <c r="L101" i="5"/>
  <c r="L26" i="4" s="1"/>
  <c r="L13" i="3" s="1"/>
  <c r="L13" i="2" s="1"/>
  <c r="K101" i="5"/>
  <c r="J101" i="5"/>
  <c r="I101" i="5"/>
  <c r="H101" i="5"/>
  <c r="G101" i="5"/>
  <c r="F101" i="5"/>
  <c r="E101" i="5"/>
  <c r="M100" i="5"/>
  <c r="L100" i="5"/>
  <c r="K100" i="5"/>
  <c r="J100" i="5"/>
  <c r="J24" i="4" s="1"/>
  <c r="I100" i="5"/>
  <c r="I24" i="4" s="1"/>
  <c r="H100" i="5"/>
  <c r="G100" i="5"/>
  <c r="F100" i="5"/>
  <c r="E100" i="5"/>
  <c r="D100" i="5"/>
  <c r="C100" i="5"/>
  <c r="M99" i="5"/>
  <c r="L99" i="5"/>
  <c r="K99" i="5"/>
  <c r="J99" i="5"/>
  <c r="I99" i="5"/>
  <c r="H99" i="5"/>
  <c r="G99" i="5"/>
  <c r="G23" i="4" s="1"/>
  <c r="F99" i="5"/>
  <c r="E99" i="5"/>
  <c r="D99" i="5"/>
  <c r="N99" i="5" s="1"/>
  <c r="O99" i="5" s="1"/>
  <c r="P99" i="5" s="1"/>
  <c r="C99" i="5"/>
  <c r="K98" i="5"/>
  <c r="J98" i="5"/>
  <c r="I98" i="5"/>
  <c r="H98" i="5"/>
  <c r="G98" i="5"/>
  <c r="F98" i="5"/>
  <c r="C98" i="5"/>
  <c r="J97" i="5"/>
  <c r="I97" i="5"/>
  <c r="F97" i="5"/>
  <c r="F108" i="5" s="1"/>
  <c r="C97" i="5"/>
  <c r="M95" i="5"/>
  <c r="L95" i="5"/>
  <c r="K95" i="5"/>
  <c r="J95" i="5"/>
  <c r="I95" i="5"/>
  <c r="H95" i="5"/>
  <c r="H32" i="4" s="1"/>
  <c r="G95" i="5"/>
  <c r="F95" i="5"/>
  <c r="E95" i="5"/>
  <c r="D95" i="5"/>
  <c r="N95" i="5" s="1"/>
  <c r="O95" i="5" s="1"/>
  <c r="P95" i="5" s="1"/>
  <c r="C95" i="5"/>
  <c r="M94" i="5"/>
  <c r="L94" i="5"/>
  <c r="K94" i="5"/>
  <c r="J94" i="5"/>
  <c r="I94" i="5"/>
  <c r="H94" i="5"/>
  <c r="G94" i="5"/>
  <c r="F94" i="5"/>
  <c r="E94" i="5"/>
  <c r="D94" i="5"/>
  <c r="C94" i="5"/>
  <c r="M92" i="5"/>
  <c r="L92" i="5"/>
  <c r="K92" i="5"/>
  <c r="J92" i="5"/>
  <c r="I92" i="5"/>
  <c r="H92" i="5"/>
  <c r="G92" i="5"/>
  <c r="F92" i="5"/>
  <c r="E92" i="5"/>
  <c r="D92" i="5"/>
  <c r="C92" i="5"/>
  <c r="M91" i="5"/>
  <c r="L91" i="5"/>
  <c r="K91" i="5"/>
  <c r="J91" i="5"/>
  <c r="I91" i="5"/>
  <c r="H91" i="5"/>
  <c r="G91" i="5"/>
  <c r="F91" i="5"/>
  <c r="E91" i="5"/>
  <c r="D91" i="5"/>
  <c r="N91" i="5" s="1"/>
  <c r="C91" i="5"/>
  <c r="M90" i="5"/>
  <c r="L90" i="5"/>
  <c r="K90" i="5"/>
  <c r="J90" i="5"/>
  <c r="I90" i="5"/>
  <c r="H90" i="5"/>
  <c r="G90" i="5"/>
  <c r="F90" i="5"/>
  <c r="E90" i="5"/>
  <c r="D90" i="5"/>
  <c r="C90" i="5"/>
  <c r="M89" i="5"/>
  <c r="L89" i="5"/>
  <c r="K89" i="5"/>
  <c r="J89" i="5"/>
  <c r="I89" i="5"/>
  <c r="H89" i="5"/>
  <c r="G89" i="5"/>
  <c r="F89" i="5"/>
  <c r="N89" i="5" s="1"/>
  <c r="E89" i="5"/>
  <c r="D89" i="5"/>
  <c r="C89" i="5"/>
  <c r="M87" i="5"/>
  <c r="L87" i="5"/>
  <c r="K87" i="5"/>
  <c r="J87" i="5"/>
  <c r="I87" i="5"/>
  <c r="H87" i="5"/>
  <c r="G87" i="5"/>
  <c r="F87" i="5"/>
  <c r="E87" i="5"/>
  <c r="D87" i="5"/>
  <c r="C87" i="5"/>
  <c r="M86" i="5"/>
  <c r="M96" i="5" s="1"/>
  <c r="L86" i="5"/>
  <c r="L96" i="5" s="1"/>
  <c r="K86" i="5"/>
  <c r="J86" i="5"/>
  <c r="J18" i="4" s="1"/>
  <c r="I86" i="5"/>
  <c r="I96" i="5" s="1"/>
  <c r="H86" i="5"/>
  <c r="G86" i="5"/>
  <c r="F86" i="5"/>
  <c r="E86" i="5"/>
  <c r="E96" i="5" s="1"/>
  <c r="D86" i="5"/>
  <c r="N86" i="5" s="1"/>
  <c r="C86" i="5"/>
  <c r="M84" i="5"/>
  <c r="L84" i="5"/>
  <c r="K84" i="5"/>
  <c r="J84" i="5"/>
  <c r="I84" i="5"/>
  <c r="H84" i="5"/>
  <c r="G84" i="5"/>
  <c r="F84" i="5"/>
  <c r="E84" i="5"/>
  <c r="N84" i="5" s="1"/>
  <c r="D84" i="5"/>
  <c r="C84" i="5"/>
  <c r="M83" i="5"/>
  <c r="L83" i="5"/>
  <c r="L31" i="4" s="1"/>
  <c r="K83" i="5"/>
  <c r="J83" i="5"/>
  <c r="I83" i="5"/>
  <c r="H83" i="5"/>
  <c r="G83" i="5"/>
  <c r="F83" i="5"/>
  <c r="E83" i="5"/>
  <c r="D83" i="5"/>
  <c r="C83" i="5"/>
  <c r="M82" i="5"/>
  <c r="L82" i="5"/>
  <c r="K82" i="5"/>
  <c r="J82" i="5"/>
  <c r="J30" i="4" s="1"/>
  <c r="I82" i="5"/>
  <c r="H82" i="5"/>
  <c r="G82" i="5"/>
  <c r="G30" i="4" s="1"/>
  <c r="G17" i="3" s="1"/>
  <c r="F82" i="5"/>
  <c r="E82" i="5"/>
  <c r="D82" i="5"/>
  <c r="C82" i="5"/>
  <c r="M81" i="5"/>
  <c r="L81" i="5"/>
  <c r="K81" i="5"/>
  <c r="J81" i="5"/>
  <c r="I81" i="5"/>
  <c r="H81" i="5"/>
  <c r="G81" i="5"/>
  <c r="F81" i="5"/>
  <c r="E81" i="5"/>
  <c r="E29" i="4" s="1"/>
  <c r="D81" i="5"/>
  <c r="C81" i="5"/>
  <c r="M80" i="5"/>
  <c r="L80" i="5"/>
  <c r="K80" i="5"/>
  <c r="J80" i="5"/>
  <c r="I80" i="5"/>
  <c r="H80" i="5"/>
  <c r="G80" i="5"/>
  <c r="F80" i="5"/>
  <c r="E80" i="5"/>
  <c r="D80" i="5"/>
  <c r="C80" i="5"/>
  <c r="M79" i="5"/>
  <c r="L79" i="5"/>
  <c r="L27" i="4" s="1"/>
  <c r="K79" i="5"/>
  <c r="J79" i="5"/>
  <c r="I79" i="5"/>
  <c r="H79" i="5"/>
  <c r="G79" i="5"/>
  <c r="F79" i="5"/>
  <c r="E79" i="5"/>
  <c r="D79" i="5"/>
  <c r="N79" i="5" s="1"/>
  <c r="C79" i="5"/>
  <c r="M78" i="5"/>
  <c r="L78" i="5"/>
  <c r="K78" i="5"/>
  <c r="J78" i="5"/>
  <c r="J26" i="4" s="1"/>
  <c r="I78" i="5"/>
  <c r="H78" i="5"/>
  <c r="G78" i="5"/>
  <c r="F78" i="5"/>
  <c r="N78" i="5" s="1"/>
  <c r="O78" i="5" s="1"/>
  <c r="P78" i="5" s="1"/>
  <c r="E78" i="5"/>
  <c r="D78" i="5"/>
  <c r="C78" i="5"/>
  <c r="M77" i="5"/>
  <c r="L77" i="5"/>
  <c r="L23" i="4" s="1"/>
  <c r="K77" i="5"/>
  <c r="J77" i="5"/>
  <c r="I77" i="5"/>
  <c r="H77" i="5"/>
  <c r="G77" i="5"/>
  <c r="F77" i="5"/>
  <c r="E77" i="5"/>
  <c r="E23" i="4" s="1"/>
  <c r="E10" i="3" s="1"/>
  <c r="D77" i="5"/>
  <c r="C77" i="5"/>
  <c r="M76" i="5"/>
  <c r="L76" i="5"/>
  <c r="K76" i="5"/>
  <c r="K85" i="5" s="1"/>
  <c r="J76" i="5"/>
  <c r="I76" i="5"/>
  <c r="H76" i="5"/>
  <c r="G76" i="5"/>
  <c r="F76" i="5"/>
  <c r="E76" i="5"/>
  <c r="D76" i="5"/>
  <c r="C76" i="5"/>
  <c r="M75" i="5"/>
  <c r="L75" i="5"/>
  <c r="K75" i="5"/>
  <c r="J75" i="5"/>
  <c r="I75" i="5"/>
  <c r="H75" i="5"/>
  <c r="H85" i="5" s="1"/>
  <c r="G75" i="5"/>
  <c r="F75" i="5"/>
  <c r="E75" i="5"/>
  <c r="D75" i="5"/>
  <c r="C75" i="5"/>
  <c r="G74" i="5"/>
  <c r="M73" i="5"/>
  <c r="M32" i="4" s="1"/>
  <c r="L73" i="5"/>
  <c r="K73" i="5"/>
  <c r="J73" i="5"/>
  <c r="J32" i="4" s="1"/>
  <c r="I73" i="5"/>
  <c r="I32" i="4" s="1"/>
  <c r="I19" i="3" s="1"/>
  <c r="H73" i="5"/>
  <c r="G73" i="5"/>
  <c r="F73" i="5"/>
  <c r="E73" i="5"/>
  <c r="E32" i="4" s="1"/>
  <c r="D73" i="5"/>
  <c r="C73" i="5"/>
  <c r="M72" i="5"/>
  <c r="L72" i="5"/>
  <c r="K72" i="5"/>
  <c r="K31" i="4" s="1"/>
  <c r="J72" i="5"/>
  <c r="I72" i="5"/>
  <c r="H72" i="5"/>
  <c r="H31" i="4" s="1"/>
  <c r="G72" i="5"/>
  <c r="G31" i="4" s="1"/>
  <c r="F72" i="5"/>
  <c r="E72" i="5"/>
  <c r="D72" i="5"/>
  <c r="C72" i="5"/>
  <c r="C31" i="4" s="1"/>
  <c r="M71" i="5"/>
  <c r="M30" i="4" s="1"/>
  <c r="M17" i="3" s="1"/>
  <c r="L71" i="5"/>
  <c r="K71" i="5"/>
  <c r="J71" i="5"/>
  <c r="I71" i="5"/>
  <c r="I30" i="4" s="1"/>
  <c r="H71" i="5"/>
  <c r="G71" i="5"/>
  <c r="F71" i="5"/>
  <c r="F30" i="4" s="1"/>
  <c r="E71" i="5"/>
  <c r="E30" i="4" s="1"/>
  <c r="E17" i="3" s="1"/>
  <c r="D71" i="5"/>
  <c r="C71" i="5"/>
  <c r="M70" i="5"/>
  <c r="L70" i="5"/>
  <c r="K70" i="5"/>
  <c r="J70" i="5"/>
  <c r="I70" i="5"/>
  <c r="H70" i="5"/>
  <c r="G70" i="5"/>
  <c r="F70" i="5"/>
  <c r="E70" i="5"/>
  <c r="D70" i="5"/>
  <c r="C70" i="5"/>
  <c r="M69" i="5"/>
  <c r="M28" i="4" s="1"/>
  <c r="L69" i="5"/>
  <c r="K69" i="5"/>
  <c r="J69" i="5"/>
  <c r="J74" i="5" s="1"/>
  <c r="I69" i="5"/>
  <c r="I28" i="4" s="1"/>
  <c r="H69" i="5"/>
  <c r="G69" i="5"/>
  <c r="F69" i="5"/>
  <c r="E69" i="5"/>
  <c r="E28" i="4" s="1"/>
  <c r="D69" i="5"/>
  <c r="C69" i="5"/>
  <c r="M68" i="5"/>
  <c r="L68" i="5"/>
  <c r="K68" i="5"/>
  <c r="K27" i="4" s="1"/>
  <c r="J68" i="5"/>
  <c r="I68" i="5"/>
  <c r="H68" i="5"/>
  <c r="H27" i="4" s="1"/>
  <c r="G68" i="5"/>
  <c r="F68" i="5"/>
  <c r="E68" i="5"/>
  <c r="D68" i="5"/>
  <c r="C68" i="5"/>
  <c r="C27" i="4" s="1"/>
  <c r="N67" i="5"/>
  <c r="M67" i="5"/>
  <c r="L67" i="5"/>
  <c r="L74" i="5" s="1"/>
  <c r="K67" i="5"/>
  <c r="J67" i="5"/>
  <c r="I67" i="5"/>
  <c r="H67" i="5"/>
  <c r="G67" i="5"/>
  <c r="F67" i="5"/>
  <c r="E67" i="5"/>
  <c r="D67" i="5"/>
  <c r="D74" i="5" s="1"/>
  <c r="C67" i="5"/>
  <c r="L50" i="5"/>
  <c r="F50" i="5"/>
  <c r="D50" i="5"/>
  <c r="M46" i="5"/>
  <c r="L46" i="5"/>
  <c r="K46" i="5"/>
  <c r="J46" i="5"/>
  <c r="I46" i="5"/>
  <c r="H46" i="5"/>
  <c r="G46" i="5"/>
  <c r="F46" i="5"/>
  <c r="E46" i="5"/>
  <c r="D46" i="5"/>
  <c r="N46" i="5" s="1"/>
  <c r="O46" i="5" s="1"/>
  <c r="P46" i="5" s="1"/>
  <c r="C46" i="5"/>
  <c r="M45" i="5"/>
  <c r="M50" i="5" s="1"/>
  <c r="L45" i="5"/>
  <c r="K45" i="5"/>
  <c r="K50" i="5" s="1"/>
  <c r="J45" i="5"/>
  <c r="I45" i="5"/>
  <c r="I50" i="5" s="1"/>
  <c r="H45" i="5"/>
  <c r="H50" i="5" s="1"/>
  <c r="G45" i="5"/>
  <c r="G50" i="5" s="1"/>
  <c r="F45" i="5"/>
  <c r="E45" i="5"/>
  <c r="E50" i="5" s="1"/>
  <c r="D45" i="5"/>
  <c r="N45" i="5" s="1"/>
  <c r="C45" i="5"/>
  <c r="O38" i="5"/>
  <c r="P38" i="5" s="1"/>
  <c r="M38" i="5"/>
  <c r="L38" i="5"/>
  <c r="L16" i="4" s="1"/>
  <c r="K38" i="5"/>
  <c r="J38" i="5"/>
  <c r="I38" i="5"/>
  <c r="H38" i="5"/>
  <c r="G38" i="5"/>
  <c r="F38" i="5"/>
  <c r="E38" i="5"/>
  <c r="D38" i="5"/>
  <c r="N38" i="5" s="1"/>
  <c r="C38" i="5"/>
  <c r="M35" i="5"/>
  <c r="M39" i="5" s="1"/>
  <c r="L35" i="5"/>
  <c r="K35" i="5"/>
  <c r="J35" i="5"/>
  <c r="I35" i="5"/>
  <c r="I13" i="4" s="1"/>
  <c r="H35" i="5"/>
  <c r="G35" i="5"/>
  <c r="F35" i="5"/>
  <c r="E35" i="5"/>
  <c r="E39" i="5" s="1"/>
  <c r="D35" i="5"/>
  <c r="C35" i="5"/>
  <c r="O34" i="5"/>
  <c r="P34" i="5" s="1"/>
  <c r="M34" i="5"/>
  <c r="L34" i="5"/>
  <c r="K34" i="5"/>
  <c r="J34" i="5"/>
  <c r="I34" i="5"/>
  <c r="H34" i="5"/>
  <c r="G34" i="5"/>
  <c r="F34" i="5"/>
  <c r="E34" i="5"/>
  <c r="D34" i="5"/>
  <c r="N34" i="5" s="1"/>
  <c r="C34" i="5"/>
  <c r="M32" i="5"/>
  <c r="M10" i="4" s="1"/>
  <c r="L32" i="5"/>
  <c r="K32" i="5"/>
  <c r="J32" i="5"/>
  <c r="I32" i="5"/>
  <c r="H32" i="5"/>
  <c r="G32" i="5"/>
  <c r="F32" i="5"/>
  <c r="F10" i="4" s="1"/>
  <c r="E32" i="5"/>
  <c r="E10" i="4" s="1"/>
  <c r="D32" i="5"/>
  <c r="C32" i="5"/>
  <c r="M31" i="5"/>
  <c r="L31" i="5"/>
  <c r="K31" i="5"/>
  <c r="K9" i="4" s="1"/>
  <c r="J31" i="5"/>
  <c r="J9" i="4" s="1"/>
  <c r="I31" i="5"/>
  <c r="H31" i="5"/>
  <c r="G31" i="5"/>
  <c r="F31" i="5"/>
  <c r="E31" i="5"/>
  <c r="D31" i="5"/>
  <c r="C31" i="5"/>
  <c r="M30" i="5"/>
  <c r="L30" i="5"/>
  <c r="K30" i="5"/>
  <c r="K39" i="5" s="1"/>
  <c r="J30" i="5"/>
  <c r="J39" i="5" s="1"/>
  <c r="I30" i="5"/>
  <c r="H30" i="5"/>
  <c r="G30" i="5"/>
  <c r="F30" i="5"/>
  <c r="E30" i="5"/>
  <c r="D30" i="5"/>
  <c r="C30" i="5"/>
  <c r="C39" i="5" s="1"/>
  <c r="I28" i="5"/>
  <c r="M27" i="5"/>
  <c r="L27" i="5"/>
  <c r="K27" i="5"/>
  <c r="J27" i="5"/>
  <c r="I27" i="5"/>
  <c r="H27" i="5"/>
  <c r="G27" i="5"/>
  <c r="G16" i="4" s="1"/>
  <c r="G19" i="3" s="1"/>
  <c r="F27" i="5"/>
  <c r="E27" i="5"/>
  <c r="D27" i="5"/>
  <c r="C27" i="5"/>
  <c r="M26" i="5"/>
  <c r="M15" i="4" s="1"/>
  <c r="M18" i="3" s="1"/>
  <c r="M18" i="2" s="1"/>
  <c r="L26" i="5"/>
  <c r="K26" i="5"/>
  <c r="J26" i="5"/>
  <c r="J15" i="4" s="1"/>
  <c r="I26" i="5"/>
  <c r="H26" i="5"/>
  <c r="G26" i="5"/>
  <c r="F26" i="5"/>
  <c r="E26" i="5"/>
  <c r="D26" i="5"/>
  <c r="C26" i="5"/>
  <c r="M24" i="5"/>
  <c r="L24" i="5"/>
  <c r="K24" i="5"/>
  <c r="K13" i="4" s="1"/>
  <c r="J24" i="5"/>
  <c r="I24" i="5"/>
  <c r="H24" i="5"/>
  <c r="H13" i="4" s="1"/>
  <c r="G24" i="5"/>
  <c r="G13" i="4" s="1"/>
  <c r="F24" i="5"/>
  <c r="E24" i="5"/>
  <c r="D24" i="5"/>
  <c r="C24" i="5"/>
  <c r="M23" i="5"/>
  <c r="M12" i="4" s="1"/>
  <c r="L23" i="5"/>
  <c r="K23" i="5"/>
  <c r="J23" i="5"/>
  <c r="I23" i="5"/>
  <c r="I12" i="4" s="1"/>
  <c r="H23" i="5"/>
  <c r="G23" i="5"/>
  <c r="F23" i="5"/>
  <c r="E23" i="5"/>
  <c r="E12" i="4" s="1"/>
  <c r="D23" i="5"/>
  <c r="C23" i="5"/>
  <c r="M19" i="5"/>
  <c r="L19" i="5"/>
  <c r="K19" i="5"/>
  <c r="J19" i="5"/>
  <c r="J28" i="5" s="1"/>
  <c r="I19" i="5"/>
  <c r="H19" i="5"/>
  <c r="H28" i="5" s="1"/>
  <c r="G19" i="5"/>
  <c r="G28" i="5" s="1"/>
  <c r="F19" i="5"/>
  <c r="E19" i="5"/>
  <c r="D19" i="5"/>
  <c r="C19" i="5"/>
  <c r="M17" i="5"/>
  <c r="J17" i="5"/>
  <c r="M16" i="5"/>
  <c r="L16" i="5"/>
  <c r="K16" i="5"/>
  <c r="J16" i="5"/>
  <c r="I16" i="5"/>
  <c r="H16" i="5"/>
  <c r="H16" i="4" s="1"/>
  <c r="G16" i="5"/>
  <c r="F16" i="5"/>
  <c r="E16" i="5"/>
  <c r="D16" i="5"/>
  <c r="N16" i="5" s="1"/>
  <c r="C16" i="5"/>
  <c r="M15" i="5"/>
  <c r="L15" i="5"/>
  <c r="K15" i="5"/>
  <c r="J15" i="5"/>
  <c r="I15" i="5"/>
  <c r="H15" i="5"/>
  <c r="G15" i="5"/>
  <c r="F15" i="5"/>
  <c r="F15" i="4" s="1"/>
  <c r="E15" i="5"/>
  <c r="D15" i="5"/>
  <c r="C15" i="5"/>
  <c r="M14" i="5"/>
  <c r="L14" i="5"/>
  <c r="L14" i="4" s="1"/>
  <c r="K14" i="5"/>
  <c r="K14" i="4" s="1"/>
  <c r="K17" i="3" s="1"/>
  <c r="K17" i="2" s="1"/>
  <c r="J14" i="5"/>
  <c r="I14" i="5"/>
  <c r="H14" i="5"/>
  <c r="G14" i="5"/>
  <c r="F14" i="5"/>
  <c r="E14" i="5"/>
  <c r="D14" i="5"/>
  <c r="C14" i="5"/>
  <c r="M13" i="5"/>
  <c r="L13" i="5"/>
  <c r="K13" i="5"/>
  <c r="J13" i="5"/>
  <c r="I13" i="5"/>
  <c r="H13" i="5"/>
  <c r="G13" i="5"/>
  <c r="F13" i="5"/>
  <c r="E13" i="5"/>
  <c r="E17" i="5" s="1"/>
  <c r="D13" i="5"/>
  <c r="C13" i="5"/>
  <c r="M12" i="5"/>
  <c r="L12" i="5"/>
  <c r="K12" i="5"/>
  <c r="K12" i="4" s="1"/>
  <c r="K15" i="3" s="1"/>
  <c r="J12" i="5"/>
  <c r="I12" i="5"/>
  <c r="H12" i="5"/>
  <c r="H12" i="4" s="1"/>
  <c r="G12" i="5"/>
  <c r="F12" i="5"/>
  <c r="E12" i="5"/>
  <c r="D12" i="5"/>
  <c r="N12" i="5" s="1"/>
  <c r="C12" i="5"/>
  <c r="M11" i="5"/>
  <c r="L11" i="5"/>
  <c r="K11" i="5"/>
  <c r="J11" i="5"/>
  <c r="I11" i="5"/>
  <c r="I17" i="5" s="1"/>
  <c r="H11" i="5"/>
  <c r="H17" i="5" s="1"/>
  <c r="G11" i="5"/>
  <c r="G17" i="5" s="1"/>
  <c r="F11" i="5"/>
  <c r="E11" i="5"/>
  <c r="D11" i="5"/>
  <c r="C11" i="5"/>
  <c r="A1" i="5"/>
  <c r="M56" i="4"/>
  <c r="L56" i="4"/>
  <c r="K56" i="4"/>
  <c r="J56" i="4"/>
  <c r="H56" i="4"/>
  <c r="G56" i="4"/>
  <c r="G30" i="3" s="1"/>
  <c r="F56" i="4"/>
  <c r="F30" i="3" s="1"/>
  <c r="E56" i="4"/>
  <c r="D56" i="4"/>
  <c r="C56" i="4"/>
  <c r="M55" i="4"/>
  <c r="M29" i="3" s="1"/>
  <c r="L55" i="4"/>
  <c r="L29" i="3" s="1"/>
  <c r="K55" i="4"/>
  <c r="J55" i="4"/>
  <c r="I55" i="4"/>
  <c r="H55" i="4"/>
  <c r="H29" i="3" s="1"/>
  <c r="G55" i="4"/>
  <c r="F55" i="4"/>
  <c r="E55" i="4"/>
  <c r="E29" i="3" s="1"/>
  <c r="D55" i="4"/>
  <c r="C55" i="4"/>
  <c r="M54" i="4"/>
  <c r="L54" i="4"/>
  <c r="K54" i="4"/>
  <c r="K28" i="3" s="1"/>
  <c r="J54" i="4"/>
  <c r="I54" i="4"/>
  <c r="H54" i="4"/>
  <c r="G54" i="4"/>
  <c r="F54" i="4"/>
  <c r="N54" i="4" s="1"/>
  <c r="E54" i="4"/>
  <c r="D54" i="4"/>
  <c r="C54" i="4"/>
  <c r="M53" i="4"/>
  <c r="L53" i="4"/>
  <c r="L27" i="3" s="1"/>
  <c r="K53" i="4"/>
  <c r="J53" i="4"/>
  <c r="I53" i="4"/>
  <c r="I27" i="3" s="1"/>
  <c r="H53" i="4"/>
  <c r="H27" i="3" s="1"/>
  <c r="G53" i="4"/>
  <c r="F53" i="4"/>
  <c r="E53" i="4"/>
  <c r="D53" i="4"/>
  <c r="C53" i="4"/>
  <c r="M52" i="4"/>
  <c r="L52" i="4"/>
  <c r="K52" i="4"/>
  <c r="J52" i="4"/>
  <c r="H52" i="4"/>
  <c r="G52" i="4"/>
  <c r="G26" i="3" s="1"/>
  <c r="F52" i="4"/>
  <c r="F26" i="3" s="1"/>
  <c r="E52" i="4"/>
  <c r="D52" i="4"/>
  <c r="C52" i="4"/>
  <c r="M51" i="4"/>
  <c r="M25" i="3" s="1"/>
  <c r="L51" i="4"/>
  <c r="K51" i="4"/>
  <c r="J51" i="4"/>
  <c r="I51" i="4"/>
  <c r="H51" i="4"/>
  <c r="E51" i="4"/>
  <c r="E25" i="3" s="1"/>
  <c r="D51" i="4"/>
  <c r="C51" i="4"/>
  <c r="M50" i="4"/>
  <c r="J50" i="4"/>
  <c r="I50" i="4"/>
  <c r="H50" i="4"/>
  <c r="G50" i="4"/>
  <c r="F50" i="4"/>
  <c r="E50" i="4"/>
  <c r="M48" i="4"/>
  <c r="M57" i="4" s="1"/>
  <c r="L48" i="4"/>
  <c r="L57" i="4" s="1"/>
  <c r="K48" i="4"/>
  <c r="I48" i="4"/>
  <c r="I22" i="3" s="1"/>
  <c r="H48" i="4"/>
  <c r="G48" i="4"/>
  <c r="F48" i="4"/>
  <c r="E48" i="4"/>
  <c r="D48" i="4"/>
  <c r="C48" i="4"/>
  <c r="M47" i="4"/>
  <c r="L47" i="4"/>
  <c r="K47" i="4"/>
  <c r="J47" i="4"/>
  <c r="I47" i="4"/>
  <c r="G47" i="4"/>
  <c r="F47" i="4"/>
  <c r="E47" i="4"/>
  <c r="D47" i="4"/>
  <c r="C47" i="4"/>
  <c r="K45" i="4"/>
  <c r="J45" i="4"/>
  <c r="G45" i="4"/>
  <c r="F45" i="4"/>
  <c r="C45" i="4"/>
  <c r="M44" i="4"/>
  <c r="L44" i="4"/>
  <c r="K44" i="4"/>
  <c r="I44" i="4"/>
  <c r="H44" i="4"/>
  <c r="E44" i="4"/>
  <c r="D44" i="4"/>
  <c r="N44" i="4" s="1"/>
  <c r="C44" i="4"/>
  <c r="K43" i="4"/>
  <c r="J43" i="4"/>
  <c r="I43" i="4"/>
  <c r="G43" i="4"/>
  <c r="F43" i="4"/>
  <c r="C43" i="4"/>
  <c r="L42" i="4"/>
  <c r="G42" i="4"/>
  <c r="D42" i="4"/>
  <c r="K41" i="4"/>
  <c r="G41" i="4"/>
  <c r="F41" i="4"/>
  <c r="C41" i="4"/>
  <c r="M40" i="4"/>
  <c r="K40" i="4"/>
  <c r="H40" i="4"/>
  <c r="E40" i="4"/>
  <c r="C40" i="4"/>
  <c r="K39" i="4"/>
  <c r="J39" i="4"/>
  <c r="I39" i="4"/>
  <c r="H39" i="4"/>
  <c r="G39" i="4"/>
  <c r="C38" i="4"/>
  <c r="N37" i="4"/>
  <c r="M37" i="4"/>
  <c r="M9" i="3" s="1"/>
  <c r="M11" i="2" s="1"/>
  <c r="L37" i="4"/>
  <c r="K37" i="4"/>
  <c r="J37" i="4"/>
  <c r="I37" i="4"/>
  <c r="H37" i="4"/>
  <c r="G37" i="4"/>
  <c r="F37" i="4"/>
  <c r="E37" i="4"/>
  <c r="E9" i="3" s="1"/>
  <c r="E11" i="2" s="1"/>
  <c r="D37" i="4"/>
  <c r="C37" i="4"/>
  <c r="M36" i="4"/>
  <c r="L36" i="4"/>
  <c r="K36" i="4"/>
  <c r="K10" i="3" s="1"/>
  <c r="K9" i="2" s="1"/>
  <c r="J36" i="4"/>
  <c r="I36" i="4"/>
  <c r="F36" i="4"/>
  <c r="E36" i="4"/>
  <c r="D36" i="4"/>
  <c r="C36" i="4"/>
  <c r="M35" i="4"/>
  <c r="M46" i="4" s="1"/>
  <c r="I35" i="4"/>
  <c r="I8" i="3" s="1"/>
  <c r="G35" i="4"/>
  <c r="F35" i="4"/>
  <c r="M34" i="4"/>
  <c r="L34" i="4"/>
  <c r="K34" i="4"/>
  <c r="J34" i="4"/>
  <c r="H34" i="4"/>
  <c r="G34" i="4"/>
  <c r="F34" i="4"/>
  <c r="E34" i="4"/>
  <c r="D34" i="4"/>
  <c r="L32" i="4"/>
  <c r="K32" i="4"/>
  <c r="D32" i="4"/>
  <c r="C32" i="4"/>
  <c r="E31" i="4"/>
  <c r="H30" i="4"/>
  <c r="M29" i="4"/>
  <c r="I29" i="4"/>
  <c r="L28" i="4"/>
  <c r="K28" i="4"/>
  <c r="G28" i="4"/>
  <c r="C28" i="4"/>
  <c r="J27" i="4"/>
  <c r="I27" i="4"/>
  <c r="G26" i="4"/>
  <c r="M25" i="4"/>
  <c r="L25" i="4"/>
  <c r="K25" i="4"/>
  <c r="I25" i="4"/>
  <c r="I12" i="3" s="1"/>
  <c r="H25" i="4"/>
  <c r="G25" i="4"/>
  <c r="F25" i="4"/>
  <c r="E25" i="4"/>
  <c r="E12" i="3" s="1"/>
  <c r="E12" i="2" s="1"/>
  <c r="D25" i="4"/>
  <c r="C25" i="4"/>
  <c r="M24" i="4"/>
  <c r="L24" i="4"/>
  <c r="K24" i="4"/>
  <c r="K11" i="3" s="1"/>
  <c r="K10" i="2" s="1"/>
  <c r="H24" i="4"/>
  <c r="G24" i="4"/>
  <c r="G11" i="3" s="1"/>
  <c r="G10" i="2" s="1"/>
  <c r="F24" i="4"/>
  <c r="E24" i="4"/>
  <c r="D24" i="4"/>
  <c r="C24" i="4"/>
  <c r="M23" i="4"/>
  <c r="K23" i="4"/>
  <c r="J23" i="4"/>
  <c r="F23" i="4"/>
  <c r="C23" i="4"/>
  <c r="K22" i="4"/>
  <c r="G22" i="4"/>
  <c r="M21" i="4"/>
  <c r="L21" i="4"/>
  <c r="K21" i="4"/>
  <c r="J21" i="4"/>
  <c r="I21" i="4"/>
  <c r="H21" i="4"/>
  <c r="G21" i="4"/>
  <c r="F21" i="4"/>
  <c r="N21" i="4" s="1"/>
  <c r="E21" i="4"/>
  <c r="D21" i="4"/>
  <c r="C21" i="4"/>
  <c r="O21" i="4" s="1"/>
  <c r="P21" i="4" s="1"/>
  <c r="L20" i="4"/>
  <c r="K20" i="4"/>
  <c r="J20" i="4"/>
  <c r="I20" i="4"/>
  <c r="H20" i="4"/>
  <c r="G20" i="4"/>
  <c r="D20" i="4"/>
  <c r="C20" i="4"/>
  <c r="M19" i="4"/>
  <c r="L19" i="4"/>
  <c r="K19" i="4"/>
  <c r="J19" i="4"/>
  <c r="I19" i="4"/>
  <c r="H19" i="4"/>
  <c r="G19" i="4"/>
  <c r="E19" i="4"/>
  <c r="N19" i="4" s="1"/>
  <c r="D19" i="4"/>
  <c r="C19" i="4"/>
  <c r="F18" i="4"/>
  <c r="M16" i="4"/>
  <c r="J16" i="4"/>
  <c r="I16" i="4"/>
  <c r="F16" i="4"/>
  <c r="E16" i="4"/>
  <c r="D16" i="4"/>
  <c r="L15" i="4"/>
  <c r="K15" i="4"/>
  <c r="I15" i="4"/>
  <c r="I18" i="3" s="1"/>
  <c r="H15" i="4"/>
  <c r="G15" i="4"/>
  <c r="D15" i="4"/>
  <c r="C15" i="4"/>
  <c r="M14" i="4"/>
  <c r="J14" i="4"/>
  <c r="I14" i="4"/>
  <c r="H14" i="4"/>
  <c r="G14" i="4"/>
  <c r="F14" i="4"/>
  <c r="E14" i="4"/>
  <c r="M13" i="4"/>
  <c r="L13" i="4"/>
  <c r="F13" i="4"/>
  <c r="D13" i="4"/>
  <c r="L12" i="4"/>
  <c r="J12" i="4"/>
  <c r="G12" i="4"/>
  <c r="G15" i="3" s="1"/>
  <c r="D12" i="4"/>
  <c r="M11" i="4"/>
  <c r="L11" i="4"/>
  <c r="K11" i="4"/>
  <c r="J11" i="4"/>
  <c r="I11" i="4"/>
  <c r="H11" i="4"/>
  <c r="G11" i="4"/>
  <c r="E11" i="4"/>
  <c r="D11" i="4"/>
  <c r="C11" i="4"/>
  <c r="L10" i="4"/>
  <c r="K10" i="4"/>
  <c r="J10" i="4"/>
  <c r="H10" i="4"/>
  <c r="G10" i="4"/>
  <c r="G13" i="3" s="1"/>
  <c r="G13" i="2" s="1"/>
  <c r="D10" i="4"/>
  <c r="C10" i="4"/>
  <c r="M9" i="4"/>
  <c r="L9" i="4"/>
  <c r="I9" i="4"/>
  <c r="H9" i="4"/>
  <c r="G9" i="4"/>
  <c r="E9" i="4"/>
  <c r="D9" i="4"/>
  <c r="M8" i="4"/>
  <c r="J8" i="4"/>
  <c r="I8" i="4"/>
  <c r="F8" i="4"/>
  <c r="E8" i="4"/>
  <c r="C8" i="4"/>
  <c r="A1" i="4"/>
  <c r="K31" i="3"/>
  <c r="M30" i="3"/>
  <c r="L30" i="3"/>
  <c r="K30" i="3"/>
  <c r="J30" i="3"/>
  <c r="J19" i="2" s="1"/>
  <c r="I30" i="3"/>
  <c r="H30" i="3"/>
  <c r="E30" i="3"/>
  <c r="D30" i="3"/>
  <c r="C30" i="3"/>
  <c r="K29" i="3"/>
  <c r="J29" i="3"/>
  <c r="I29" i="3"/>
  <c r="G29" i="3"/>
  <c r="F29" i="3"/>
  <c r="D29" i="3"/>
  <c r="C29" i="3"/>
  <c r="M28" i="3"/>
  <c r="L28" i="3"/>
  <c r="J28" i="3"/>
  <c r="I28" i="3"/>
  <c r="H28" i="3"/>
  <c r="G28" i="3"/>
  <c r="F28" i="3"/>
  <c r="E28" i="3"/>
  <c r="D28" i="3"/>
  <c r="M27" i="3"/>
  <c r="K27" i="3"/>
  <c r="J27" i="3"/>
  <c r="G27" i="3"/>
  <c r="F27" i="3"/>
  <c r="E27" i="3"/>
  <c r="D27" i="3"/>
  <c r="N27" i="3" s="1"/>
  <c r="O27" i="3" s="1"/>
  <c r="P27" i="3" s="1"/>
  <c r="C27" i="3"/>
  <c r="M26" i="3"/>
  <c r="L26" i="3"/>
  <c r="K26" i="3"/>
  <c r="J26" i="3"/>
  <c r="I26" i="3"/>
  <c r="H26" i="3"/>
  <c r="E26" i="3"/>
  <c r="N26" i="3" s="1"/>
  <c r="D26" i="3"/>
  <c r="C26" i="3"/>
  <c r="L25" i="3"/>
  <c r="K25" i="3"/>
  <c r="J25" i="3"/>
  <c r="I25" i="3"/>
  <c r="F25" i="3"/>
  <c r="D25" i="3"/>
  <c r="C25" i="3"/>
  <c r="M24" i="3"/>
  <c r="L24" i="3"/>
  <c r="J24" i="3"/>
  <c r="I24" i="3"/>
  <c r="H24" i="3"/>
  <c r="G24" i="3"/>
  <c r="F24" i="3"/>
  <c r="E24" i="3"/>
  <c r="M22" i="3"/>
  <c r="K22" i="3"/>
  <c r="J22" i="3"/>
  <c r="H22" i="3"/>
  <c r="G22" i="3"/>
  <c r="F22" i="3"/>
  <c r="E22" i="3"/>
  <c r="D22" i="3"/>
  <c r="C22" i="3"/>
  <c r="M21" i="3"/>
  <c r="L21" i="3"/>
  <c r="K21" i="3"/>
  <c r="J21" i="3"/>
  <c r="I21" i="3"/>
  <c r="H21" i="3"/>
  <c r="E21" i="3"/>
  <c r="D21" i="3"/>
  <c r="C21" i="3"/>
  <c r="M19" i="3"/>
  <c r="M19" i="2" s="1"/>
  <c r="L19" i="3"/>
  <c r="L19" i="2" s="1"/>
  <c r="J19" i="3"/>
  <c r="H19" i="3"/>
  <c r="H19" i="2" s="1"/>
  <c r="E19" i="3"/>
  <c r="E19" i="2" s="1"/>
  <c r="L18" i="3"/>
  <c r="K18" i="3"/>
  <c r="K18" i="2" s="1"/>
  <c r="J18" i="3"/>
  <c r="J18" i="2" s="1"/>
  <c r="H18" i="3"/>
  <c r="C18" i="3"/>
  <c r="J17" i="3"/>
  <c r="J17" i="2" s="1"/>
  <c r="I17" i="3"/>
  <c r="H17" i="3"/>
  <c r="H17" i="2" s="1"/>
  <c r="F16" i="3"/>
  <c r="F16" i="2" s="1"/>
  <c r="M15" i="3"/>
  <c r="M15" i="2" s="1"/>
  <c r="L15" i="3"/>
  <c r="L15" i="2" s="1"/>
  <c r="E15" i="3"/>
  <c r="E15" i="2" s="1"/>
  <c r="K14" i="3"/>
  <c r="K14" i="2" s="1"/>
  <c r="J14" i="3"/>
  <c r="J14" i="2" s="1"/>
  <c r="H14" i="3"/>
  <c r="C14" i="3"/>
  <c r="J13" i="3"/>
  <c r="J13" i="2" s="1"/>
  <c r="N12" i="3"/>
  <c r="O12" i="3" s="1"/>
  <c r="P12" i="3" s="1"/>
  <c r="M12" i="3"/>
  <c r="L12" i="3"/>
  <c r="K12" i="3"/>
  <c r="J12" i="3"/>
  <c r="J12" i="2" s="1"/>
  <c r="H12" i="3"/>
  <c r="H12" i="2" s="1"/>
  <c r="G12" i="3"/>
  <c r="G12" i="2" s="1"/>
  <c r="F12" i="3"/>
  <c r="F12" i="2" s="1"/>
  <c r="D12" i="3"/>
  <c r="C12" i="3"/>
  <c r="M11" i="3"/>
  <c r="M10" i="2" s="1"/>
  <c r="L11" i="3"/>
  <c r="L10" i="2" s="1"/>
  <c r="J11" i="3"/>
  <c r="J10" i="2" s="1"/>
  <c r="I11" i="3"/>
  <c r="H11" i="3"/>
  <c r="F11" i="3"/>
  <c r="F10" i="2" s="1"/>
  <c r="E11" i="3"/>
  <c r="D11" i="3"/>
  <c r="D10" i="2" s="1"/>
  <c r="L10" i="3"/>
  <c r="L9" i="2" s="1"/>
  <c r="J10" i="3"/>
  <c r="J9" i="2" s="1"/>
  <c r="L9" i="3"/>
  <c r="K9" i="3"/>
  <c r="J9" i="3"/>
  <c r="I9" i="3"/>
  <c r="H9" i="3"/>
  <c r="H11" i="2" s="1"/>
  <c r="G9" i="3"/>
  <c r="F9" i="3"/>
  <c r="F11" i="2" s="1"/>
  <c r="D9" i="3"/>
  <c r="C9" i="3"/>
  <c r="J7" i="3"/>
  <c r="J7" i="2" s="1"/>
  <c r="F7" i="3"/>
  <c r="A1" i="3"/>
  <c r="I19" i="2"/>
  <c r="G19" i="2"/>
  <c r="I18" i="2"/>
  <c r="H18" i="2"/>
  <c r="G18" i="2"/>
  <c r="M17" i="2"/>
  <c r="G17" i="2"/>
  <c r="E17" i="2"/>
  <c r="K15" i="2"/>
  <c r="G15" i="2"/>
  <c r="M14" i="2"/>
  <c r="M12" i="2"/>
  <c r="L12" i="2"/>
  <c r="K12" i="2"/>
  <c r="I12" i="2"/>
  <c r="D12" i="2"/>
  <c r="C12" i="2"/>
  <c r="L11" i="2"/>
  <c r="K11" i="2"/>
  <c r="J11" i="2"/>
  <c r="I11" i="2"/>
  <c r="G11" i="2"/>
  <c r="D11" i="2"/>
  <c r="C11" i="2"/>
  <c r="I10" i="2"/>
  <c r="H10" i="2"/>
  <c r="E10" i="2"/>
  <c r="E9" i="2"/>
  <c r="I8" i="2"/>
  <c r="B1" i="1"/>
  <c r="F131" i="5" l="1"/>
  <c r="N121" i="5"/>
  <c r="N159" i="5"/>
  <c r="D189" i="5"/>
  <c r="N179" i="5"/>
  <c r="E15" i="4"/>
  <c r="E28" i="5"/>
  <c r="I17" i="2"/>
  <c r="L18" i="2"/>
  <c r="N28" i="3"/>
  <c r="M16" i="3"/>
  <c r="M16" i="2" s="1"/>
  <c r="N20" i="4"/>
  <c r="O20" i="4" s="1"/>
  <c r="P20" i="4" s="1"/>
  <c r="H57" i="4"/>
  <c r="H25" i="3"/>
  <c r="H14" i="2" s="1"/>
  <c r="D14" i="4"/>
  <c r="N14" i="5"/>
  <c r="O14" i="5" s="1"/>
  <c r="P14" i="5" s="1"/>
  <c r="L17" i="3"/>
  <c r="L17" i="2" s="1"/>
  <c r="F12" i="4"/>
  <c r="F28" i="5"/>
  <c r="N23" i="5"/>
  <c r="H119" i="5"/>
  <c r="O159" i="5"/>
  <c r="P159" i="5" s="1"/>
  <c r="L22" i="3"/>
  <c r="L31" i="3" s="1"/>
  <c r="N29" i="3"/>
  <c r="O29" i="3" s="1"/>
  <c r="P29" i="3" s="1"/>
  <c r="O44" i="4"/>
  <c r="P44" i="4" s="1"/>
  <c r="O12" i="5"/>
  <c r="P12" i="5" s="1"/>
  <c r="C12" i="4"/>
  <c r="C13" i="4"/>
  <c r="I16" i="3"/>
  <c r="I16" i="2" s="1"/>
  <c r="H154" i="5"/>
  <c r="O9" i="3"/>
  <c r="P9" i="3" s="1"/>
  <c r="N22" i="3"/>
  <c r="O22" i="3" s="1"/>
  <c r="P22" i="3" s="1"/>
  <c r="K13" i="3"/>
  <c r="K13" i="2" s="1"/>
  <c r="C14" i="4"/>
  <c r="C28" i="5"/>
  <c r="K28" i="5"/>
  <c r="K8" i="4"/>
  <c r="I10" i="4"/>
  <c r="I39" i="5"/>
  <c r="O45" i="5"/>
  <c r="P45" i="5" s="1"/>
  <c r="D23" i="4"/>
  <c r="N77" i="5"/>
  <c r="O77" i="5" s="1"/>
  <c r="P77" i="5" s="1"/>
  <c r="O106" i="5"/>
  <c r="P106" i="5" s="1"/>
  <c r="C166" i="5"/>
  <c r="C18" i="4"/>
  <c r="K166" i="5"/>
  <c r="F26" i="4"/>
  <c r="F74" i="5"/>
  <c r="O179" i="5"/>
  <c r="C189" i="5"/>
  <c r="N9" i="3"/>
  <c r="C18" i="2"/>
  <c r="I31" i="3"/>
  <c r="N30" i="3"/>
  <c r="O30" i="3" s="1"/>
  <c r="P30" i="3" s="1"/>
  <c r="C11" i="3"/>
  <c r="C28" i="3"/>
  <c r="O28" i="3" s="1"/>
  <c r="P28" i="3" s="1"/>
  <c r="O54" i="4"/>
  <c r="P54" i="4" s="1"/>
  <c r="M28" i="5"/>
  <c r="F9" i="4"/>
  <c r="F10" i="3" s="1"/>
  <c r="F9" i="2" s="1"/>
  <c r="F39" i="5"/>
  <c r="N31" i="5"/>
  <c r="N69" i="5"/>
  <c r="F17" i="3"/>
  <c r="F17" i="2" s="1"/>
  <c r="N71" i="5"/>
  <c r="F1862" i="7"/>
  <c r="O128" i="5"/>
  <c r="P128" i="5" s="1"/>
  <c r="C30" i="4"/>
  <c r="N11" i="2"/>
  <c r="O11" i="2" s="1"/>
  <c r="P11" i="2" s="1"/>
  <c r="J31" i="3"/>
  <c r="F57" i="4"/>
  <c r="F21" i="3"/>
  <c r="N47" i="4"/>
  <c r="O47" i="4" s="1"/>
  <c r="P47" i="4" s="1"/>
  <c r="N75" i="5"/>
  <c r="D85" i="5"/>
  <c r="L85" i="5"/>
  <c r="I10" i="3"/>
  <c r="I9" i="2" s="1"/>
  <c r="O137" i="5"/>
  <c r="P137" i="5" s="1"/>
  <c r="N12" i="2"/>
  <c r="O12" i="2" s="1"/>
  <c r="P12" i="2" s="1"/>
  <c r="N10" i="2"/>
  <c r="N11" i="3"/>
  <c r="M17" i="4"/>
  <c r="M10" i="3"/>
  <c r="M9" i="2" s="1"/>
  <c r="F7" i="2"/>
  <c r="C14" i="2"/>
  <c r="N25" i="3"/>
  <c r="O25" i="3" s="1"/>
  <c r="P25" i="3" s="1"/>
  <c r="G57" i="4"/>
  <c r="G21" i="3"/>
  <c r="G31" i="3" s="1"/>
  <c r="C16" i="4"/>
  <c r="O16" i="5"/>
  <c r="P16" i="5" s="1"/>
  <c r="K16" i="4"/>
  <c r="K19" i="3" s="1"/>
  <c r="K19" i="2" s="1"/>
  <c r="E74" i="5"/>
  <c r="N74" i="5" s="1"/>
  <c r="E26" i="4"/>
  <c r="M74" i="5"/>
  <c r="M26" i="4"/>
  <c r="M13" i="3" s="1"/>
  <c r="M13" i="2" s="1"/>
  <c r="E85" i="5"/>
  <c r="M85" i="5"/>
  <c r="D143" i="5"/>
  <c r="N132" i="5"/>
  <c r="I143" i="5"/>
  <c r="G36" i="4"/>
  <c r="G10" i="3" s="1"/>
  <c r="G9" i="2" s="1"/>
  <c r="G200" i="5"/>
  <c r="M222" i="5"/>
  <c r="N16" i="4"/>
  <c r="N51" i="4"/>
  <c r="O51" i="4" s="1"/>
  <c r="P51" i="4" s="1"/>
  <c r="F17" i="5"/>
  <c r="F11" i="4"/>
  <c r="N11" i="5"/>
  <c r="N15" i="5"/>
  <c r="N26" i="5"/>
  <c r="H8" i="4"/>
  <c r="H39" i="5"/>
  <c r="C50" i="5"/>
  <c r="O69" i="5"/>
  <c r="P69" i="5" s="1"/>
  <c r="O75" i="5"/>
  <c r="P75" i="5" s="1"/>
  <c r="O79" i="5"/>
  <c r="P79" i="5" s="1"/>
  <c r="N81" i="5"/>
  <c r="O81" i="5" s="1"/>
  <c r="P81" i="5" s="1"/>
  <c r="O84" i="5"/>
  <c r="P84" i="5" s="1"/>
  <c r="O86" i="5"/>
  <c r="P86" i="5" s="1"/>
  <c r="K96" i="5"/>
  <c r="F31" i="4"/>
  <c r="F18" i="3" s="1"/>
  <c r="F18" i="2" s="1"/>
  <c r="N94" i="5"/>
  <c r="D30" i="4"/>
  <c r="N30" i="4" s="1"/>
  <c r="N105" i="5"/>
  <c r="L30" i="4"/>
  <c r="F119" i="5"/>
  <c r="O110" i="5"/>
  <c r="P110" i="5" s="1"/>
  <c r="O117" i="5"/>
  <c r="P117" i="5" s="1"/>
  <c r="O123" i="5"/>
  <c r="P123" i="5" s="1"/>
  <c r="C143" i="5"/>
  <c r="O132" i="5"/>
  <c r="P132" i="5" s="1"/>
  <c r="N134" i="5"/>
  <c r="O134" i="5" s="1"/>
  <c r="P134" i="5" s="1"/>
  <c r="F154" i="5"/>
  <c r="I154" i="5"/>
  <c r="O163" i="5"/>
  <c r="P163" i="5" s="1"/>
  <c r="N165" i="5"/>
  <c r="O165" i="5" s="1"/>
  <c r="P165" i="5" s="1"/>
  <c r="O174" i="5"/>
  <c r="P174" i="5" s="1"/>
  <c r="O186" i="5"/>
  <c r="P186" i="5" s="1"/>
  <c r="E200" i="5"/>
  <c r="M200" i="5"/>
  <c r="I34" i="4"/>
  <c r="N34" i="4" s="1"/>
  <c r="C42" i="4"/>
  <c r="N209" i="5"/>
  <c r="O209" i="5" s="1"/>
  <c r="P209" i="5" s="1"/>
  <c r="N227" i="5"/>
  <c r="O227" i="5" s="1"/>
  <c r="P227" i="5" s="1"/>
  <c r="P196" i="6"/>
  <c r="Q196" i="6" s="1"/>
  <c r="R196" i="6" s="1"/>
  <c r="G8" i="4"/>
  <c r="N24" i="4"/>
  <c r="O24" i="4" s="1"/>
  <c r="P24" i="4" s="1"/>
  <c r="E42" i="4"/>
  <c r="N42" i="4" s="1"/>
  <c r="N48" i="4"/>
  <c r="O48" i="4" s="1"/>
  <c r="P48" i="4" s="1"/>
  <c r="N52" i="4"/>
  <c r="O52" i="4" s="1"/>
  <c r="P52" i="4" s="1"/>
  <c r="N56" i="4"/>
  <c r="O56" i="4" s="1"/>
  <c r="P56" i="4" s="1"/>
  <c r="D28" i="5"/>
  <c r="N28" i="5" s="1"/>
  <c r="N19" i="5"/>
  <c r="O19" i="5" s="1"/>
  <c r="P19" i="5" s="1"/>
  <c r="D8" i="4"/>
  <c r="L28" i="5"/>
  <c r="L8" i="4"/>
  <c r="N24" i="5"/>
  <c r="O24" i="5" s="1"/>
  <c r="P24" i="5" s="1"/>
  <c r="N27" i="5"/>
  <c r="O27" i="5" s="1"/>
  <c r="P27" i="5" s="1"/>
  <c r="O32" i="5"/>
  <c r="P32" i="5" s="1"/>
  <c r="C29" i="4"/>
  <c r="K29" i="4"/>
  <c r="K33" i="4" s="1"/>
  <c r="F85" i="5"/>
  <c r="J22" i="4"/>
  <c r="F32" i="4"/>
  <c r="F19" i="3" s="1"/>
  <c r="F19" i="2" s="1"/>
  <c r="F96" i="5"/>
  <c r="N90" i="5"/>
  <c r="O90" i="5" s="1"/>
  <c r="P90" i="5" s="1"/>
  <c r="N92" i="5"/>
  <c r="O92" i="5" s="1"/>
  <c r="P92" i="5" s="1"/>
  <c r="I108" i="5"/>
  <c r="I119" i="5"/>
  <c r="G131" i="5"/>
  <c r="N131" i="5" s="1"/>
  <c r="O124" i="5"/>
  <c r="P124" i="5" s="1"/>
  <c r="N126" i="5"/>
  <c r="O126" i="5" s="1"/>
  <c r="P126" i="5" s="1"/>
  <c r="N128" i="5"/>
  <c r="M143" i="5"/>
  <c r="N145" i="5"/>
  <c r="O145" i="5" s="1"/>
  <c r="P145" i="5" s="1"/>
  <c r="L154" i="5"/>
  <c r="D166" i="5"/>
  <c r="N155" i="5"/>
  <c r="O155" i="5" s="1"/>
  <c r="P155" i="5" s="1"/>
  <c r="L166" i="5"/>
  <c r="O164" i="5"/>
  <c r="P164" i="5" s="1"/>
  <c r="H178" i="5"/>
  <c r="E178" i="5"/>
  <c r="M178" i="5"/>
  <c r="O175" i="5"/>
  <c r="P175" i="5" s="1"/>
  <c r="N177" i="5"/>
  <c r="O177" i="5" s="1"/>
  <c r="P177" i="5" s="1"/>
  <c r="E189" i="5"/>
  <c r="M189" i="5"/>
  <c r="N186" i="5"/>
  <c r="H200" i="5"/>
  <c r="N194" i="5"/>
  <c r="O194" i="5" s="1"/>
  <c r="P194" i="5" s="1"/>
  <c r="N201" i="5"/>
  <c r="D43" i="4"/>
  <c r="N43" i="4" s="1"/>
  <c r="O43" i="4" s="1"/>
  <c r="P43" i="4" s="1"/>
  <c r="N208" i="5"/>
  <c r="O208" i="5" s="1"/>
  <c r="P208" i="5" s="1"/>
  <c r="N210" i="5"/>
  <c r="O210" i="5" s="1"/>
  <c r="P210" i="5" s="1"/>
  <c r="N226" i="5"/>
  <c r="D50" i="4"/>
  <c r="N228" i="5"/>
  <c r="O228" i="5" s="1"/>
  <c r="P228" i="5" s="1"/>
  <c r="N36" i="4"/>
  <c r="O36" i="4" s="1"/>
  <c r="P36" i="4" s="1"/>
  <c r="J57" i="4"/>
  <c r="E57" i="4"/>
  <c r="D39" i="5"/>
  <c r="L39" i="5"/>
  <c r="H74" i="5"/>
  <c r="N68" i="5"/>
  <c r="O68" i="5" s="1"/>
  <c r="P68" i="5" s="1"/>
  <c r="D29" i="4"/>
  <c r="N70" i="5"/>
  <c r="O70" i="5" s="1"/>
  <c r="P70" i="5" s="1"/>
  <c r="L29" i="4"/>
  <c r="L16" i="3" s="1"/>
  <c r="L16" i="2" s="1"/>
  <c r="N72" i="5"/>
  <c r="O72" i="5" s="1"/>
  <c r="P72" i="5" s="1"/>
  <c r="C85" i="5"/>
  <c r="H29" i="4"/>
  <c r="G85" i="5"/>
  <c r="G96" i="5"/>
  <c r="N87" i="5"/>
  <c r="O87" i="5" s="1"/>
  <c r="P87" i="5" s="1"/>
  <c r="H28" i="4"/>
  <c r="H15" i="3" s="1"/>
  <c r="H15" i="2" s="1"/>
  <c r="J119" i="5"/>
  <c r="O114" i="5"/>
  <c r="P114" i="5" s="1"/>
  <c r="N116" i="5"/>
  <c r="O116" i="5" s="1"/>
  <c r="P116" i="5" s="1"/>
  <c r="D119" i="5"/>
  <c r="H131" i="5"/>
  <c r="N122" i="5"/>
  <c r="O122" i="5" s="1"/>
  <c r="P122" i="5" s="1"/>
  <c r="G143" i="5"/>
  <c r="O135" i="5"/>
  <c r="P135" i="5" s="1"/>
  <c r="N141" i="5"/>
  <c r="O141" i="5" s="1"/>
  <c r="P141" i="5" s="1"/>
  <c r="E154" i="5"/>
  <c r="M154" i="5"/>
  <c r="O160" i="5"/>
  <c r="P160" i="5" s="1"/>
  <c r="N168" i="5"/>
  <c r="O168" i="5" s="1"/>
  <c r="P168" i="5" s="1"/>
  <c r="N173" i="5"/>
  <c r="O173" i="5" s="1"/>
  <c r="P173" i="5" s="1"/>
  <c r="F189" i="5"/>
  <c r="N192" i="5"/>
  <c r="O192" i="5" s="1"/>
  <c r="P192" i="5" s="1"/>
  <c r="M211" i="5"/>
  <c r="O26" i="3"/>
  <c r="P26" i="3" s="1"/>
  <c r="N11" i="4"/>
  <c r="O11" i="4" s="1"/>
  <c r="P11" i="4" s="1"/>
  <c r="E13" i="4"/>
  <c r="E31" i="3"/>
  <c r="M31" i="3"/>
  <c r="N12" i="4"/>
  <c r="E35" i="4"/>
  <c r="K57" i="4"/>
  <c r="D57" i="4"/>
  <c r="C17" i="5"/>
  <c r="K17" i="5"/>
  <c r="J13" i="4"/>
  <c r="J16" i="3" s="1"/>
  <c r="J16" i="2" s="1"/>
  <c r="O15" i="5"/>
  <c r="P15" i="5" s="1"/>
  <c r="N35" i="5"/>
  <c r="O35" i="5" s="1"/>
  <c r="P35" i="5" s="1"/>
  <c r="I74" i="5"/>
  <c r="I26" i="4"/>
  <c r="I33" i="4" s="1"/>
  <c r="H23" i="4"/>
  <c r="H10" i="3" s="1"/>
  <c r="H9" i="2" s="1"/>
  <c r="H96" i="5"/>
  <c r="O94" i="5"/>
  <c r="P94" i="5" s="1"/>
  <c r="N104" i="5"/>
  <c r="O104" i="5" s="1"/>
  <c r="P104" i="5" s="1"/>
  <c r="O109" i="5"/>
  <c r="P109" i="5" s="1"/>
  <c r="N112" i="5"/>
  <c r="O112" i="5" s="1"/>
  <c r="P112" i="5" s="1"/>
  <c r="N114" i="5"/>
  <c r="O129" i="5"/>
  <c r="P129" i="5" s="1"/>
  <c r="H143" i="5"/>
  <c r="N135" i="5"/>
  <c r="C154" i="5"/>
  <c r="K154" i="5"/>
  <c r="N149" i="5"/>
  <c r="O149" i="5" s="1"/>
  <c r="P149" i="5" s="1"/>
  <c r="N151" i="5"/>
  <c r="O151" i="5" s="1"/>
  <c r="P151" i="5" s="1"/>
  <c r="F166" i="5"/>
  <c r="O156" i="5"/>
  <c r="P156" i="5" s="1"/>
  <c r="O162" i="5"/>
  <c r="P162" i="5" s="1"/>
  <c r="N169" i="5"/>
  <c r="N171" i="5"/>
  <c r="O171" i="5" s="1"/>
  <c r="P171" i="5" s="1"/>
  <c r="G189" i="5"/>
  <c r="N185" i="5"/>
  <c r="O185" i="5" s="1"/>
  <c r="P185" i="5" s="1"/>
  <c r="J200" i="5"/>
  <c r="N197" i="5"/>
  <c r="O197" i="5" s="1"/>
  <c r="P197" i="5" s="1"/>
  <c r="N199" i="5"/>
  <c r="O199" i="5" s="1"/>
  <c r="P199" i="5" s="1"/>
  <c r="D45" i="4"/>
  <c r="N206" i="5"/>
  <c r="O206" i="5" s="1"/>
  <c r="P206" i="5" s="1"/>
  <c r="O37" i="4"/>
  <c r="P37" i="4" s="1"/>
  <c r="D17" i="5"/>
  <c r="L17" i="5"/>
  <c r="N32" i="5"/>
  <c r="I85" i="5"/>
  <c r="I18" i="4"/>
  <c r="I7" i="3" s="1"/>
  <c r="N83" i="5"/>
  <c r="O83" i="5" s="1"/>
  <c r="P83" i="5" s="1"/>
  <c r="D31" i="4"/>
  <c r="O89" i="5"/>
  <c r="P89" i="5" s="1"/>
  <c r="O125" i="5"/>
  <c r="P125" i="5" s="1"/>
  <c r="N133" i="5"/>
  <c r="O133" i="5" s="1"/>
  <c r="P133" i="5" s="1"/>
  <c r="O142" i="5"/>
  <c r="P142" i="5" s="1"/>
  <c r="N144" i="5"/>
  <c r="O144" i="5" s="1"/>
  <c r="P144" i="5" s="1"/>
  <c r="N147" i="5"/>
  <c r="O147" i="5" s="1"/>
  <c r="P147" i="5" s="1"/>
  <c r="G166" i="5"/>
  <c r="N162" i="5"/>
  <c r="K178" i="5"/>
  <c r="O176" i="5"/>
  <c r="P176" i="5" s="1"/>
  <c r="C200" i="5"/>
  <c r="O191" i="5"/>
  <c r="K200" i="5"/>
  <c r="N193" i="5"/>
  <c r="O193" i="5" s="1"/>
  <c r="P193" i="5" s="1"/>
  <c r="N195" i="5"/>
  <c r="O195" i="5" s="1"/>
  <c r="P195" i="5" s="1"/>
  <c r="D41" i="4"/>
  <c r="O202" i="5"/>
  <c r="P202" i="5" s="1"/>
  <c r="G233" i="5"/>
  <c r="O19" i="4"/>
  <c r="P19" i="4" s="1"/>
  <c r="N25" i="4"/>
  <c r="O25" i="4" s="1"/>
  <c r="P25" i="4" s="1"/>
  <c r="N53" i="4"/>
  <c r="O53" i="4" s="1"/>
  <c r="P53" i="4" s="1"/>
  <c r="N55" i="4"/>
  <c r="O55" i="4" s="1"/>
  <c r="P55" i="4" s="1"/>
  <c r="O23" i="5"/>
  <c r="P23" i="5" s="1"/>
  <c r="N32" i="4"/>
  <c r="O32" i="4" s="1"/>
  <c r="P32" i="4" s="1"/>
  <c r="I57" i="4"/>
  <c r="N13" i="5"/>
  <c r="O13" i="5" s="1"/>
  <c r="P13" i="5" s="1"/>
  <c r="O26" i="5"/>
  <c r="P26" i="5" s="1"/>
  <c r="G39" i="5"/>
  <c r="C9" i="4"/>
  <c r="O31" i="5"/>
  <c r="J50" i="5"/>
  <c r="N50" i="5" s="1"/>
  <c r="C74" i="5"/>
  <c r="K74" i="5"/>
  <c r="G27" i="4"/>
  <c r="G33" i="4" s="1"/>
  <c r="J28" i="4"/>
  <c r="G29" i="4"/>
  <c r="G16" i="3" s="1"/>
  <c r="G16" i="2" s="1"/>
  <c r="O71" i="5"/>
  <c r="P71" i="5" s="1"/>
  <c r="J85" i="5"/>
  <c r="F22" i="4"/>
  <c r="N76" i="5"/>
  <c r="O76" i="5" s="1"/>
  <c r="P76" i="5" s="1"/>
  <c r="N80" i="5"/>
  <c r="O80" i="5" s="1"/>
  <c r="P80" i="5" s="1"/>
  <c r="O91" i="5"/>
  <c r="P91" i="5" s="1"/>
  <c r="J96" i="5"/>
  <c r="N100" i="5"/>
  <c r="O100" i="5" s="1"/>
  <c r="P100" i="5" s="1"/>
  <c r="F27" i="4"/>
  <c r="O105" i="5"/>
  <c r="P105" i="5" s="1"/>
  <c r="N107" i="5"/>
  <c r="O107" i="5" s="1"/>
  <c r="P107" i="5" s="1"/>
  <c r="E119" i="5"/>
  <c r="M119" i="5"/>
  <c r="O115" i="5"/>
  <c r="P115" i="5" s="1"/>
  <c r="C131" i="5"/>
  <c r="K131" i="5"/>
  <c r="O127" i="5"/>
  <c r="P127" i="5" s="1"/>
  <c r="J131" i="5"/>
  <c r="J143" i="5"/>
  <c r="O136" i="5"/>
  <c r="P136" i="5" s="1"/>
  <c r="N139" i="5"/>
  <c r="O139" i="5" s="1"/>
  <c r="P139" i="5" s="1"/>
  <c r="N142" i="5"/>
  <c r="H166" i="5"/>
  <c r="E166" i="5"/>
  <c r="M166" i="5"/>
  <c r="N158" i="5"/>
  <c r="O158" i="5" s="1"/>
  <c r="P158" i="5" s="1"/>
  <c r="D178" i="5"/>
  <c r="N167" i="5"/>
  <c r="O167" i="5" s="1"/>
  <c r="P167" i="5" s="1"/>
  <c r="L178" i="5"/>
  <c r="O172" i="5"/>
  <c r="P172" i="5" s="1"/>
  <c r="D200" i="5"/>
  <c r="N200" i="5" s="1"/>
  <c r="L200" i="5"/>
  <c r="I200" i="5"/>
  <c r="O224" i="5"/>
  <c r="P224" i="5" s="1"/>
  <c r="P76" i="6"/>
  <c r="Q76" i="6" s="1"/>
  <c r="R76" i="6" s="1"/>
  <c r="O11" i="5"/>
  <c r="P11" i="5" s="1"/>
  <c r="O67" i="5"/>
  <c r="P67" i="5" s="1"/>
  <c r="C96" i="5"/>
  <c r="O121" i="5"/>
  <c r="P121" i="5" s="1"/>
  <c r="Q179" i="7"/>
  <c r="R179" i="7" s="1"/>
  <c r="D27" i="4"/>
  <c r="F28" i="4"/>
  <c r="D96" i="5"/>
  <c r="N96" i="5" s="1"/>
  <c r="D154" i="5"/>
  <c r="J233" i="5"/>
  <c r="Q41" i="6"/>
  <c r="R41" i="6" s="1"/>
  <c r="Q417" i="7"/>
  <c r="R417" i="7" s="1"/>
  <c r="N218" i="5"/>
  <c r="O218" i="5" s="1"/>
  <c r="P218" i="5" s="1"/>
  <c r="K233" i="5"/>
  <c r="N230" i="5"/>
  <c r="O230" i="5" s="1"/>
  <c r="P230" i="5" s="1"/>
  <c r="C318" i="6"/>
  <c r="P41" i="6"/>
  <c r="D233" i="5"/>
  <c r="L233" i="5"/>
  <c r="Q162" i="6"/>
  <c r="R162" i="6" s="1"/>
  <c r="Q281" i="6"/>
  <c r="R281" i="6" s="1"/>
  <c r="Q451" i="7"/>
  <c r="R451" i="7" s="1"/>
  <c r="E233" i="5"/>
  <c r="M233" i="5"/>
  <c r="P162" i="6"/>
  <c r="Q213" i="6"/>
  <c r="R213" i="6" s="1"/>
  <c r="P281" i="6"/>
  <c r="N30" i="5"/>
  <c r="O30" i="5" s="1"/>
  <c r="F233" i="5"/>
  <c r="N223" i="5"/>
  <c r="O223" i="5" s="1"/>
  <c r="P223" i="5" s="1"/>
  <c r="O229" i="5"/>
  <c r="P229" i="5" s="1"/>
  <c r="N231" i="5"/>
  <c r="O231" i="5" s="1"/>
  <c r="P231" i="5" s="1"/>
  <c r="P58" i="6"/>
  <c r="Q58" i="6" s="1"/>
  <c r="R58" i="6" s="1"/>
  <c r="Q93" i="6"/>
  <c r="R93" i="6" s="1"/>
  <c r="Q128" i="6"/>
  <c r="R128" i="6" s="1"/>
  <c r="Q315" i="6"/>
  <c r="R315" i="6" s="1"/>
  <c r="P24" i="7"/>
  <c r="Q24" i="7" s="1"/>
  <c r="R24" i="7" s="1"/>
  <c r="Q264" i="7"/>
  <c r="R264" i="7" s="1"/>
  <c r="P281" i="7"/>
  <c r="Q281" i="7" s="1"/>
  <c r="R281" i="7" s="1"/>
  <c r="P468" i="7"/>
  <c r="P469" i="7"/>
  <c r="Q469" i="7" s="1"/>
  <c r="R469" i="7" s="1"/>
  <c r="Q587" i="7"/>
  <c r="R587" i="7" s="1"/>
  <c r="K18" i="10"/>
  <c r="M604" i="7"/>
  <c r="D22" i="10"/>
  <c r="N22" i="10" s="1"/>
  <c r="O22" i="10" s="1"/>
  <c r="P22" i="10" s="1"/>
  <c r="P608" i="7"/>
  <c r="Q608" i="7" s="1"/>
  <c r="R608" i="7" s="1"/>
  <c r="Q962" i="7"/>
  <c r="R962" i="7" s="1"/>
  <c r="P1149" i="7"/>
  <c r="P1592" i="7"/>
  <c r="C1864" i="7"/>
  <c r="C1860" i="7"/>
  <c r="C1861" i="7"/>
  <c r="Q400" i="7"/>
  <c r="R400" i="7" s="1"/>
  <c r="Q434" i="7"/>
  <c r="R434" i="7" s="1"/>
  <c r="N808" i="7"/>
  <c r="Q893" i="7"/>
  <c r="R893" i="7" s="1"/>
  <c r="Q944" i="7"/>
  <c r="R944" i="7" s="1"/>
  <c r="A1" i="11"/>
  <c r="A1" i="10"/>
  <c r="P400" i="7"/>
  <c r="L19" i="10"/>
  <c r="N553" i="7"/>
  <c r="J621" i="7"/>
  <c r="H18" i="10"/>
  <c r="P621" i="7"/>
  <c r="Q621" i="7" s="1"/>
  <c r="R621" i="7" s="1"/>
  <c r="Q689" i="7"/>
  <c r="R689" i="7" s="1"/>
  <c r="P706" i="7"/>
  <c r="Q706" i="7" s="1"/>
  <c r="R706" i="7" s="1"/>
  <c r="P776" i="7"/>
  <c r="Q776" i="7" s="1"/>
  <c r="R776" i="7" s="1"/>
  <c r="Q1319" i="7"/>
  <c r="R1319" i="7" s="1"/>
  <c r="Q94" i="7"/>
  <c r="R94" i="7" s="1"/>
  <c r="P145" i="7"/>
  <c r="Q145" i="7" s="1"/>
  <c r="R145" i="7" s="1"/>
  <c r="E23" i="10"/>
  <c r="E102" i="5" s="1"/>
  <c r="G536" i="7"/>
  <c r="P526" i="7"/>
  <c r="Q526" i="7" s="1"/>
  <c r="R526" i="7" s="1"/>
  <c r="P672" i="7"/>
  <c r="Q672" i="7" s="1"/>
  <c r="R672" i="7" s="1"/>
  <c r="P689" i="7"/>
  <c r="M31" i="10"/>
  <c r="M40" i="10" s="1"/>
  <c r="O791" i="7"/>
  <c r="P808" i="7"/>
  <c r="Q808" i="7" s="1"/>
  <c r="R808" i="7" s="1"/>
  <c r="P944" i="7"/>
  <c r="Q1064" i="7"/>
  <c r="R1064" i="7" s="1"/>
  <c r="Q1166" i="7"/>
  <c r="R1166" i="7" s="1"/>
  <c r="C1868" i="7"/>
  <c r="Q1268" i="7"/>
  <c r="R1268" i="7" s="1"/>
  <c r="P1388" i="7"/>
  <c r="Q1388" i="7" s="1"/>
  <c r="R1388" i="7" s="1"/>
  <c r="Q187" i="6"/>
  <c r="R187" i="6" s="1"/>
  <c r="P315" i="6"/>
  <c r="C33" i="10"/>
  <c r="F829" i="7"/>
  <c r="P1285" i="7"/>
  <c r="Q1285" i="7" s="1"/>
  <c r="R1285" i="7" s="1"/>
  <c r="F485" i="7"/>
  <c r="P485" i="7" s="1"/>
  <c r="Q485" i="7" s="1"/>
  <c r="R485" i="7" s="1"/>
  <c r="P536" i="7"/>
  <c r="Q536" i="7" s="1"/>
  <c r="R536" i="7" s="1"/>
  <c r="D24" i="10"/>
  <c r="F553" i="7"/>
  <c r="P544" i="7"/>
  <c r="Q544" i="7" s="1"/>
  <c r="R544" i="7" s="1"/>
  <c r="Q638" i="7"/>
  <c r="R638" i="7" s="1"/>
  <c r="E825" i="7"/>
  <c r="N810" i="7"/>
  <c r="L31" i="10" s="1"/>
  <c r="L40" i="10" s="1"/>
  <c r="F810" i="7"/>
  <c r="D31" i="10" s="1"/>
  <c r="P1013" i="7"/>
  <c r="Q1013" i="7" s="1"/>
  <c r="R1013" i="7" s="1"/>
  <c r="P1507" i="7"/>
  <c r="Q1507" i="7" s="1"/>
  <c r="R1507" i="7" s="1"/>
  <c r="H119" i="10"/>
  <c r="J585" i="8"/>
  <c r="Q468" i="7"/>
  <c r="R468" i="7" s="1"/>
  <c r="F791" i="7"/>
  <c r="P791" i="7" s="1"/>
  <c r="Q791" i="7" s="1"/>
  <c r="R791" i="7" s="1"/>
  <c r="P927" i="7"/>
  <c r="Q927" i="7" s="1"/>
  <c r="R927" i="7" s="1"/>
  <c r="Q1681" i="7"/>
  <c r="R1681" i="7" s="1"/>
  <c r="Q298" i="6"/>
  <c r="R298" i="6" s="1"/>
  <c r="C1859" i="7"/>
  <c r="P332" i="7"/>
  <c r="Q332" i="7" s="1"/>
  <c r="R332" i="7" s="1"/>
  <c r="Q366" i="7"/>
  <c r="R366" i="7" s="1"/>
  <c r="P520" i="7"/>
  <c r="Q520" i="7" s="1"/>
  <c r="R520" i="7" s="1"/>
  <c r="P555" i="7"/>
  <c r="Q555" i="7" s="1"/>
  <c r="R555" i="7" s="1"/>
  <c r="G18" i="10"/>
  <c r="I604" i="7"/>
  <c r="Q723" i="7"/>
  <c r="R723" i="7" s="1"/>
  <c r="Q757" i="7"/>
  <c r="R757" i="7" s="1"/>
  <c r="P793" i="7"/>
  <c r="Q793" i="7" s="1"/>
  <c r="R793" i="7" s="1"/>
  <c r="E842" i="7"/>
  <c r="Q979" i="7"/>
  <c r="R979" i="7" s="1"/>
  <c r="Q996" i="7"/>
  <c r="R996" i="7" s="1"/>
  <c r="Q1132" i="7"/>
  <c r="R1132" i="7" s="1"/>
  <c r="Q1149" i="7"/>
  <c r="R1149" i="7" s="1"/>
  <c r="Q1234" i="7"/>
  <c r="R1234" i="7" s="1"/>
  <c r="P1473" i="7"/>
  <c r="Q1473" i="7" s="1"/>
  <c r="R1473" i="7" s="1"/>
  <c r="P1645" i="7"/>
  <c r="Q1645" i="7" s="1"/>
  <c r="R1645" i="7" s="1"/>
  <c r="P1817" i="7"/>
  <c r="Q196" i="7"/>
  <c r="R196" i="7" s="1"/>
  <c r="E383" i="7"/>
  <c r="Q383" i="7" s="1"/>
  <c r="R383" i="7" s="1"/>
  <c r="D19" i="10"/>
  <c r="L18" i="10"/>
  <c r="G842" i="7"/>
  <c r="O842" i="7"/>
  <c r="F859" i="7"/>
  <c r="P1664" i="7"/>
  <c r="Q1664" i="7" s="1"/>
  <c r="R1664" i="7" s="1"/>
  <c r="Q1834" i="7"/>
  <c r="R1834" i="7" s="1"/>
  <c r="F93" i="8"/>
  <c r="P93" i="8" s="1"/>
  <c r="Q93" i="8" s="1"/>
  <c r="R93" i="8" s="1"/>
  <c r="P84" i="8"/>
  <c r="Q84" i="8" s="1"/>
  <c r="R84" i="8" s="1"/>
  <c r="H91" i="10"/>
  <c r="H207" i="5" s="1"/>
  <c r="H42" i="4" s="1"/>
  <c r="J127" i="8"/>
  <c r="P279" i="8"/>
  <c r="Q296" i="8"/>
  <c r="R296" i="8" s="1"/>
  <c r="L119" i="10"/>
  <c r="N568" i="8"/>
  <c r="Q602" i="8"/>
  <c r="R602" i="8" s="1"/>
  <c r="C17" i="10"/>
  <c r="E19" i="10"/>
  <c r="E98" i="5" s="1"/>
  <c r="E22" i="4" s="1"/>
  <c r="M18" i="10"/>
  <c r="H842" i="7"/>
  <c r="G859" i="7"/>
  <c r="P1422" i="7"/>
  <c r="Q1422" i="7" s="1"/>
  <c r="R1422" i="7" s="1"/>
  <c r="P1633" i="7"/>
  <c r="Q1633" i="7" s="1"/>
  <c r="R1633" i="7" s="1"/>
  <c r="Q1715" i="7"/>
  <c r="R1715" i="7" s="1"/>
  <c r="Q1766" i="7"/>
  <c r="R1766" i="7" s="1"/>
  <c r="P1834" i="7"/>
  <c r="P110" i="8"/>
  <c r="Q110" i="8" s="1"/>
  <c r="R110" i="8" s="1"/>
  <c r="F89" i="10"/>
  <c r="F205" i="5" s="1"/>
  <c r="F40" i="4" s="1"/>
  <c r="H127" i="8"/>
  <c r="P116" i="8"/>
  <c r="Q116" i="8" s="1"/>
  <c r="R116" i="8" s="1"/>
  <c r="P313" i="8"/>
  <c r="Q313" i="8" s="1"/>
  <c r="R313" i="8" s="1"/>
  <c r="E30" i="10"/>
  <c r="E40" i="10" s="1"/>
  <c r="D15" i="11"/>
  <c r="N15" i="11" s="1"/>
  <c r="N34" i="11"/>
  <c r="C1867" i="7"/>
  <c r="F1405" i="7"/>
  <c r="P1405" i="7" s="1"/>
  <c r="Q1405" i="7" s="1"/>
  <c r="R1405" i="7" s="1"/>
  <c r="P1439" i="7"/>
  <c r="Q1439" i="7" s="1"/>
  <c r="R1439" i="7" s="1"/>
  <c r="Q1558" i="7"/>
  <c r="R1558" i="7" s="1"/>
  <c r="P1715" i="7"/>
  <c r="P1800" i="7"/>
  <c r="Q1800" i="7" s="1"/>
  <c r="R1800" i="7" s="1"/>
  <c r="P10" i="8"/>
  <c r="Q10" i="8" s="1"/>
  <c r="R10" i="8" s="1"/>
  <c r="G89" i="10"/>
  <c r="I127" i="8"/>
  <c r="P381" i="8"/>
  <c r="P211" i="9"/>
  <c r="O21" i="10"/>
  <c r="P21" i="10" s="1"/>
  <c r="C29" i="10"/>
  <c r="D35" i="10"/>
  <c r="N35" i="10" s="1"/>
  <c r="O35" i="10" s="1"/>
  <c r="P35" i="10" s="1"/>
  <c r="O112" i="10"/>
  <c r="P112" i="10" s="1"/>
  <c r="M19" i="10"/>
  <c r="M98" i="5" s="1"/>
  <c r="M22" i="4" s="1"/>
  <c r="D18" i="10"/>
  <c r="H604" i="7"/>
  <c r="P604" i="7" s="1"/>
  <c r="Q604" i="7" s="1"/>
  <c r="R604" i="7" s="1"/>
  <c r="D73" i="10"/>
  <c r="N63" i="10"/>
  <c r="P1490" i="7"/>
  <c r="Q1490" i="7" s="1"/>
  <c r="R1490" i="7" s="1"/>
  <c r="Q1524" i="7"/>
  <c r="R1524" i="7" s="1"/>
  <c r="Q1592" i="7"/>
  <c r="R1592" i="7" s="1"/>
  <c r="P1698" i="7"/>
  <c r="Q1698" i="7" s="1"/>
  <c r="R1698" i="7" s="1"/>
  <c r="Q212" i="8"/>
  <c r="R212" i="8" s="1"/>
  <c r="Q534" i="8"/>
  <c r="R534" i="8" s="1"/>
  <c r="P538" i="7"/>
  <c r="Q538" i="7" s="1"/>
  <c r="R538" i="7" s="1"/>
  <c r="E18" i="10"/>
  <c r="K621" i="7"/>
  <c r="G808" i="7"/>
  <c r="D51" i="10"/>
  <c r="N42" i="10"/>
  <c r="C1865" i="7"/>
  <c r="Q1323" i="7"/>
  <c r="R1323" i="7" s="1"/>
  <c r="P1389" i="7"/>
  <c r="Q1389" i="7" s="1"/>
  <c r="R1389" i="7" s="1"/>
  <c r="P1626" i="7"/>
  <c r="Q1626" i="7" s="1"/>
  <c r="R1626" i="7" s="1"/>
  <c r="P1749" i="7"/>
  <c r="Q1749" i="7" s="1"/>
  <c r="R1749" i="7" s="1"/>
  <c r="C55" i="11"/>
  <c r="C75" i="10"/>
  <c r="E1817" i="7"/>
  <c r="Q1817" i="7" s="1"/>
  <c r="R1817" i="7" s="1"/>
  <c r="Q1802" i="7"/>
  <c r="R1802" i="7" s="1"/>
  <c r="C1862" i="7"/>
  <c r="H808" i="7"/>
  <c r="N825" i="7"/>
  <c r="Q1047" i="7"/>
  <c r="R1047" i="7" s="1"/>
  <c r="P76" i="8"/>
  <c r="Q76" i="8" s="1"/>
  <c r="R76" i="8" s="1"/>
  <c r="Q161" i="8"/>
  <c r="R161" i="8" s="1"/>
  <c r="F24" i="8"/>
  <c r="P24" i="8" s="1"/>
  <c r="Q24" i="8" s="1"/>
  <c r="R24" i="8" s="1"/>
  <c r="O85" i="10"/>
  <c r="P85" i="10" s="1"/>
  <c r="C95" i="10"/>
  <c r="E127" i="8"/>
  <c r="C606" i="8" s="1"/>
  <c r="C107" i="10"/>
  <c r="E279" i="8"/>
  <c r="Q279" i="8" s="1"/>
  <c r="R279" i="8" s="1"/>
  <c r="Q551" i="8"/>
  <c r="R551" i="8" s="1"/>
  <c r="I123" i="10"/>
  <c r="I217" i="5" s="1"/>
  <c r="I222" i="5" s="1"/>
  <c r="P559" i="8"/>
  <c r="Q559" i="8" s="1"/>
  <c r="R559" i="8" s="1"/>
  <c r="J119" i="10"/>
  <c r="L585" i="8"/>
  <c r="Q75" i="9"/>
  <c r="R75" i="9" s="1"/>
  <c r="P194" i="9"/>
  <c r="Q194" i="9" s="1"/>
  <c r="R194" i="9" s="1"/>
  <c r="P566" i="9"/>
  <c r="Q566" i="9" s="1"/>
  <c r="R566" i="9" s="1"/>
  <c r="C62" i="10"/>
  <c r="O69" i="10"/>
  <c r="P69" i="10" s="1"/>
  <c r="O102" i="10"/>
  <c r="P102" i="10" s="1"/>
  <c r="Q381" i="8"/>
  <c r="R381" i="8" s="1"/>
  <c r="P500" i="8"/>
  <c r="Q500" i="8" s="1"/>
  <c r="R500" i="8" s="1"/>
  <c r="P551" i="8"/>
  <c r="J123" i="10"/>
  <c r="J217" i="5" s="1"/>
  <c r="J41" i="4" s="1"/>
  <c r="L568" i="8"/>
  <c r="Q177" i="9"/>
  <c r="R177" i="9" s="1"/>
  <c r="Q279" i="9"/>
  <c r="R279" i="9" s="1"/>
  <c r="O25" i="10"/>
  <c r="P25" i="10" s="1"/>
  <c r="O48" i="10"/>
  <c r="P48" i="10" s="1"/>
  <c r="I89" i="10"/>
  <c r="I205" i="5" s="1"/>
  <c r="I40" i="4" s="1"/>
  <c r="I14" i="3" s="1"/>
  <c r="I14" i="2" s="1"/>
  <c r="E8" i="11"/>
  <c r="E17" i="11" s="1"/>
  <c r="N55" i="11"/>
  <c r="C99" i="10"/>
  <c r="E178" i="8"/>
  <c r="F165" i="8"/>
  <c r="P191" i="8"/>
  <c r="Q191" i="8" s="1"/>
  <c r="R191" i="8" s="1"/>
  <c r="Q398" i="8"/>
  <c r="R398" i="8" s="1"/>
  <c r="P449" i="8"/>
  <c r="Q449" i="8" s="1"/>
  <c r="R449" i="8" s="1"/>
  <c r="J466" i="8"/>
  <c r="P453" i="8"/>
  <c r="Q453" i="8" s="1"/>
  <c r="R453" i="8" s="1"/>
  <c r="P570" i="8"/>
  <c r="Q570" i="8" s="1"/>
  <c r="R570" i="8" s="1"/>
  <c r="E585" i="8"/>
  <c r="P126" i="9"/>
  <c r="P313" i="9"/>
  <c r="Q313" i="9" s="1"/>
  <c r="R313" i="9" s="1"/>
  <c r="P432" i="9"/>
  <c r="Q432" i="9" s="1"/>
  <c r="R432" i="9" s="1"/>
  <c r="N12" i="10"/>
  <c r="O12" i="10" s="1"/>
  <c r="P12" i="10" s="1"/>
  <c r="Q347" i="8"/>
  <c r="R347" i="8" s="1"/>
  <c r="P398" i="8"/>
  <c r="Q415" i="8"/>
  <c r="R415" i="8" s="1"/>
  <c r="C119" i="10"/>
  <c r="E568" i="8"/>
  <c r="P551" i="9"/>
  <c r="Q551" i="9" s="1"/>
  <c r="R551" i="9" s="1"/>
  <c r="J40" i="10"/>
  <c r="O37" i="10"/>
  <c r="P37" i="10" s="1"/>
  <c r="O60" i="10"/>
  <c r="P60" i="10" s="1"/>
  <c r="M84" i="10"/>
  <c r="D89" i="10"/>
  <c r="F127" i="8"/>
  <c r="L89" i="10"/>
  <c r="L205" i="5" s="1"/>
  <c r="L40" i="4" s="1"/>
  <c r="L14" i="3" s="1"/>
  <c r="L14" i="2" s="1"/>
  <c r="N127" i="8"/>
  <c r="P148" i="8"/>
  <c r="Q148" i="8" s="1"/>
  <c r="R148" i="8" s="1"/>
  <c r="Q246" i="8"/>
  <c r="R246" i="8" s="1"/>
  <c r="D119" i="10"/>
  <c r="F568" i="8"/>
  <c r="P553" i="8"/>
  <c r="Q553" i="8" s="1"/>
  <c r="R553" i="8" s="1"/>
  <c r="P109" i="9"/>
  <c r="Q109" i="9" s="1"/>
  <c r="R109" i="9" s="1"/>
  <c r="P160" i="9"/>
  <c r="Q160" i="9" s="1"/>
  <c r="R160" i="9" s="1"/>
  <c r="Q330" i="9"/>
  <c r="R330" i="9" s="1"/>
  <c r="Q415" i="9"/>
  <c r="R415" i="9" s="1"/>
  <c r="P483" i="9"/>
  <c r="Q483" i="9" s="1"/>
  <c r="R483" i="9" s="1"/>
  <c r="P534" i="9"/>
  <c r="Q534" i="9" s="1"/>
  <c r="R534" i="9" s="1"/>
  <c r="P611" i="9"/>
  <c r="Q611" i="9" s="1"/>
  <c r="R611" i="9" s="1"/>
  <c r="N8" i="10"/>
  <c r="O8" i="10" s="1"/>
  <c r="P8" i="10" s="1"/>
  <c r="N44" i="10"/>
  <c r="O44" i="10" s="1"/>
  <c r="P44" i="10" s="1"/>
  <c r="G106" i="10"/>
  <c r="N111" i="10"/>
  <c r="O111" i="10" s="1"/>
  <c r="P111" i="10" s="1"/>
  <c r="P123" i="8"/>
  <c r="Q123" i="8" s="1"/>
  <c r="R123" i="8" s="1"/>
  <c r="P144" i="8"/>
  <c r="Q144" i="8" s="1"/>
  <c r="R144" i="8" s="1"/>
  <c r="F195" i="8"/>
  <c r="P195" i="8" s="1"/>
  <c r="Q195" i="8" s="1"/>
  <c r="R195" i="8" s="1"/>
  <c r="P262" i="8"/>
  <c r="Q262" i="8" s="1"/>
  <c r="R262" i="8" s="1"/>
  <c r="P364" i="8"/>
  <c r="Q364" i="8" s="1"/>
  <c r="R364" i="8" s="1"/>
  <c r="M466" i="8"/>
  <c r="P466" i="8" s="1"/>
  <c r="Q466" i="8" s="1"/>
  <c r="R466" i="8" s="1"/>
  <c r="I585" i="8"/>
  <c r="Q92" i="9"/>
  <c r="R92" i="9" s="1"/>
  <c r="Q262" i="9"/>
  <c r="R262" i="9" s="1"/>
  <c r="P347" i="9"/>
  <c r="Q347" i="9" s="1"/>
  <c r="R347" i="9" s="1"/>
  <c r="Q517" i="9"/>
  <c r="R517" i="9" s="1"/>
  <c r="J17" i="10"/>
  <c r="N23" i="10"/>
  <c r="O23" i="10" s="1"/>
  <c r="P23" i="10" s="1"/>
  <c r="D36" i="11"/>
  <c r="N36" i="11" s="1"/>
  <c r="O36" i="11" s="1"/>
  <c r="P36" i="11" s="1"/>
  <c r="L36" i="11"/>
  <c r="K119" i="10"/>
  <c r="G585" i="8"/>
  <c r="P585" i="8" s="1"/>
  <c r="I17" i="10"/>
  <c r="N53" i="10"/>
  <c r="O53" i="10" s="1"/>
  <c r="P53" i="10" s="1"/>
  <c r="G117" i="10"/>
  <c r="N108" i="10"/>
  <c r="O108" i="10" s="1"/>
  <c r="P108" i="10" s="1"/>
  <c r="O124" i="10"/>
  <c r="P124" i="10" s="1"/>
  <c r="F17" i="11"/>
  <c r="N8" i="11"/>
  <c r="O9" i="11"/>
  <c r="P9" i="11" s="1"/>
  <c r="O34" i="11"/>
  <c r="P34" i="11" s="1"/>
  <c r="H87" i="11"/>
  <c r="H7" i="11"/>
  <c r="C13" i="11"/>
  <c r="O13" i="11" s="1"/>
  <c r="P13" i="11" s="1"/>
  <c r="N13" i="11"/>
  <c r="G36" i="11"/>
  <c r="K36" i="11"/>
  <c r="C70" i="11"/>
  <c r="N61" i="11"/>
  <c r="O61" i="11" s="1"/>
  <c r="P61" i="11" s="1"/>
  <c r="N94" i="11"/>
  <c r="O94" i="11" s="1"/>
  <c r="P94" i="11" s="1"/>
  <c r="O100" i="11"/>
  <c r="P100" i="11" s="1"/>
  <c r="Q41" i="9"/>
  <c r="R41" i="9" s="1"/>
  <c r="P58" i="9"/>
  <c r="Q58" i="9" s="1"/>
  <c r="R58" i="9" s="1"/>
  <c r="Q143" i="9"/>
  <c r="R143" i="9" s="1"/>
  <c r="N7" i="10"/>
  <c r="O7" i="10" s="1"/>
  <c r="P7" i="10" s="1"/>
  <c r="N9" i="10"/>
  <c r="O9" i="10" s="1"/>
  <c r="P9" i="10" s="1"/>
  <c r="K51" i="10"/>
  <c r="M51" i="10"/>
  <c r="C73" i="10"/>
  <c r="O67" i="10"/>
  <c r="P67" i="10" s="1"/>
  <c r="N90" i="10"/>
  <c r="O90" i="10" s="1"/>
  <c r="P90" i="10" s="1"/>
  <c r="L106" i="10"/>
  <c r="N123" i="10"/>
  <c r="O123" i="10" s="1"/>
  <c r="P123" i="10" s="1"/>
  <c r="D70" i="11"/>
  <c r="N57" i="11"/>
  <c r="O57" i="11" s="1"/>
  <c r="P57" i="11" s="1"/>
  <c r="D10" i="11"/>
  <c r="L70" i="11"/>
  <c r="L10" i="11"/>
  <c r="L17" i="11" s="1"/>
  <c r="O60" i="11"/>
  <c r="P60" i="11" s="1"/>
  <c r="N12" i="11"/>
  <c r="O12" i="11" s="1"/>
  <c r="P12" i="11" s="1"/>
  <c r="O71" i="11"/>
  <c r="P71" i="11" s="1"/>
  <c r="K87" i="11"/>
  <c r="E99" i="10"/>
  <c r="E204" i="5" s="1"/>
  <c r="E39" i="4" s="1"/>
  <c r="P450" i="8"/>
  <c r="Q450" i="8" s="1"/>
  <c r="R450" i="8" s="1"/>
  <c r="M568" i="8"/>
  <c r="K585" i="8"/>
  <c r="E126" i="9"/>
  <c r="Q126" i="9" s="1"/>
  <c r="R126" i="9" s="1"/>
  <c r="C132" i="10"/>
  <c r="Q113" i="9"/>
  <c r="R113" i="9" s="1"/>
  <c r="P228" i="9"/>
  <c r="Q228" i="9" s="1"/>
  <c r="R228" i="9" s="1"/>
  <c r="P381" i="9"/>
  <c r="Q381" i="9" s="1"/>
  <c r="R381" i="9" s="1"/>
  <c r="Q628" i="9"/>
  <c r="R628" i="9" s="1"/>
  <c r="E17" i="10"/>
  <c r="M17" i="10"/>
  <c r="O11" i="10"/>
  <c r="P11" i="10" s="1"/>
  <c r="N13" i="10"/>
  <c r="O13" i="10" s="1"/>
  <c r="P13" i="10" s="1"/>
  <c r="D17" i="10"/>
  <c r="N17" i="10" s="1"/>
  <c r="O20" i="10"/>
  <c r="P20" i="10" s="1"/>
  <c r="N34" i="10"/>
  <c r="O34" i="10" s="1"/>
  <c r="P34" i="10" s="1"/>
  <c r="E73" i="10"/>
  <c r="N67" i="10"/>
  <c r="K95" i="10"/>
  <c r="E106" i="10"/>
  <c r="N96" i="10"/>
  <c r="O96" i="10" s="1"/>
  <c r="P96" i="10" s="1"/>
  <c r="M106" i="10"/>
  <c r="O136" i="10"/>
  <c r="P136" i="10" s="1"/>
  <c r="H53" i="11"/>
  <c r="N50" i="11"/>
  <c r="D87" i="11"/>
  <c r="L87" i="11"/>
  <c r="F99" i="10"/>
  <c r="F204" i="5" s="1"/>
  <c r="F39" i="4" s="1"/>
  <c r="F46" i="4" s="1"/>
  <c r="Q211" i="9"/>
  <c r="R211" i="9" s="1"/>
  <c r="Q364" i="9"/>
  <c r="R364" i="9" s="1"/>
  <c r="N11" i="10"/>
  <c r="N20" i="10"/>
  <c r="I40" i="10"/>
  <c r="I62" i="10"/>
  <c r="N60" i="10"/>
  <c r="C84" i="10"/>
  <c r="O84" i="10" s="1"/>
  <c r="P84" i="10" s="1"/>
  <c r="K84" i="10"/>
  <c r="N76" i="10"/>
  <c r="O76" i="10" s="1"/>
  <c r="P76" i="10" s="1"/>
  <c r="O15" i="11"/>
  <c r="P15" i="11" s="1"/>
  <c r="O33" i="11"/>
  <c r="P33" i="11" s="1"/>
  <c r="I53" i="11"/>
  <c r="N43" i="11"/>
  <c r="O43" i="11" s="1"/>
  <c r="P43" i="11" s="1"/>
  <c r="J12" i="11"/>
  <c r="J17" i="11" s="1"/>
  <c r="O49" i="11"/>
  <c r="P49" i="11" s="1"/>
  <c r="O46" i="10"/>
  <c r="P46" i="10" s="1"/>
  <c r="N48" i="10"/>
  <c r="N57" i="10"/>
  <c r="O57" i="10" s="1"/>
  <c r="P57" i="10" s="1"/>
  <c r="K73" i="10"/>
  <c r="N74" i="10"/>
  <c r="O74" i="10" s="1"/>
  <c r="P74" i="10" s="1"/>
  <c r="O79" i="10"/>
  <c r="P79" i="10" s="1"/>
  <c r="N81" i="10"/>
  <c r="O81" i="10" s="1"/>
  <c r="P81" i="10" s="1"/>
  <c r="J95" i="10"/>
  <c r="N100" i="10"/>
  <c r="O100" i="10" s="1"/>
  <c r="P100" i="10" s="1"/>
  <c r="N134" i="10"/>
  <c r="O134" i="10" s="1"/>
  <c r="P134" i="10" s="1"/>
  <c r="D17" i="11"/>
  <c r="M17" i="11"/>
  <c r="E36" i="11"/>
  <c r="M36" i="11"/>
  <c r="O26" i="11"/>
  <c r="P26" i="11" s="1"/>
  <c r="J53" i="11"/>
  <c r="E70" i="11"/>
  <c r="M70" i="11"/>
  <c r="J87" i="11"/>
  <c r="N83" i="11"/>
  <c r="O83" i="11" s="1"/>
  <c r="P83" i="11" s="1"/>
  <c r="F40" i="10"/>
  <c r="C51" i="10"/>
  <c r="E62" i="10"/>
  <c r="M62" i="10"/>
  <c r="N55" i="10"/>
  <c r="O55" i="10" s="1"/>
  <c r="P55" i="10" s="1"/>
  <c r="O58" i="10"/>
  <c r="P58" i="10" s="1"/>
  <c r="N61" i="10"/>
  <c r="O61" i="10" s="1"/>
  <c r="P61" i="10" s="1"/>
  <c r="G84" i="10"/>
  <c r="N75" i="10"/>
  <c r="N82" i="10"/>
  <c r="O82" i="10" s="1"/>
  <c r="P82" i="10" s="1"/>
  <c r="E95" i="10"/>
  <c r="M95" i="10"/>
  <c r="N101" i="10"/>
  <c r="O101" i="10" s="1"/>
  <c r="P101" i="10" s="1"/>
  <c r="K117" i="10"/>
  <c r="N117" i="10" s="1"/>
  <c r="I139" i="10"/>
  <c r="N139" i="10" s="1"/>
  <c r="O135" i="10"/>
  <c r="P135" i="10" s="1"/>
  <c r="C150" i="10"/>
  <c r="O150" i="10" s="1"/>
  <c r="P150" i="10" s="1"/>
  <c r="K150" i="10"/>
  <c r="N146" i="10"/>
  <c r="O146" i="10" s="1"/>
  <c r="P146" i="10" s="1"/>
  <c r="H36" i="11"/>
  <c r="N44" i="11"/>
  <c r="O44" i="11" s="1"/>
  <c r="P44" i="11" s="1"/>
  <c r="O50" i="11"/>
  <c r="P50" i="11" s="1"/>
  <c r="H70" i="11"/>
  <c r="J104" i="11"/>
  <c r="N100" i="11"/>
  <c r="N47" i="10"/>
  <c r="O47" i="10" s="1"/>
  <c r="P47" i="10" s="1"/>
  <c r="N58" i="10"/>
  <c r="G73" i="10"/>
  <c r="N64" i="10"/>
  <c r="O64" i="10" s="1"/>
  <c r="P64" i="10" s="1"/>
  <c r="N80" i="10"/>
  <c r="O80" i="10" s="1"/>
  <c r="P80" i="10" s="1"/>
  <c r="F95" i="10"/>
  <c r="N135" i="10"/>
  <c r="N150" i="10"/>
  <c r="I36" i="11"/>
  <c r="O22" i="11"/>
  <c r="P22" i="11" s="1"/>
  <c r="I70" i="11"/>
  <c r="O11" i="11"/>
  <c r="P11" i="11" s="1"/>
  <c r="N71" i="11"/>
  <c r="N84" i="11"/>
  <c r="O84" i="11" s="1"/>
  <c r="P84" i="11" s="1"/>
  <c r="E14" i="11"/>
  <c r="H40" i="10"/>
  <c r="N45" i="10"/>
  <c r="O45" i="10" s="1"/>
  <c r="P45" i="10" s="1"/>
  <c r="N50" i="10"/>
  <c r="O50" i="10" s="1"/>
  <c r="P50" i="10" s="1"/>
  <c r="O54" i="10"/>
  <c r="P54" i="10" s="1"/>
  <c r="N56" i="10"/>
  <c r="O56" i="10" s="1"/>
  <c r="P56" i="10" s="1"/>
  <c r="O68" i="10"/>
  <c r="P68" i="10" s="1"/>
  <c r="N113" i="10"/>
  <c r="O113" i="10" s="1"/>
  <c r="P113" i="10" s="1"/>
  <c r="C139" i="10"/>
  <c r="K139" i="10"/>
  <c r="N133" i="10"/>
  <c r="O133" i="10" s="1"/>
  <c r="P133" i="10" s="1"/>
  <c r="N22" i="11"/>
  <c r="D9" i="11"/>
  <c r="N9" i="11" s="1"/>
  <c r="N32" i="11"/>
  <c r="O32" i="11" s="1"/>
  <c r="P32" i="11" s="1"/>
  <c r="J14" i="11"/>
  <c r="N14" i="11" s="1"/>
  <c r="G53" i="11"/>
  <c r="N53" i="11" s="1"/>
  <c r="O53" i="11" s="1"/>
  <c r="P53" i="11" s="1"/>
  <c r="J70" i="11"/>
  <c r="N66" i="11"/>
  <c r="O66" i="11" s="1"/>
  <c r="P66" i="11" s="1"/>
  <c r="G87" i="11"/>
  <c r="N77" i="11"/>
  <c r="O77" i="11" s="1"/>
  <c r="P77" i="11" s="1"/>
  <c r="D104" i="11"/>
  <c r="L104" i="11"/>
  <c r="C14" i="11"/>
  <c r="O101" i="11"/>
  <c r="P101" i="11" s="1"/>
  <c r="D95" i="10"/>
  <c r="O42" i="10"/>
  <c r="P42" i="10" s="1"/>
  <c r="C87" i="11"/>
  <c r="D84" i="10"/>
  <c r="N84" i="10" s="1"/>
  <c r="D62" i="10"/>
  <c r="N62" i="10" s="1"/>
  <c r="N107" i="10"/>
  <c r="N129" i="10"/>
  <c r="O129" i="10" s="1"/>
  <c r="P129" i="10" s="1"/>
  <c r="F87" i="11"/>
  <c r="O63" i="10"/>
  <c r="P63" i="10" s="1"/>
  <c r="N141" i="10"/>
  <c r="O141" i="10" s="1"/>
  <c r="P141" i="10" s="1"/>
  <c r="N31" i="10" l="1"/>
  <c r="O31" i="10" s="1"/>
  <c r="P31" i="10" s="1"/>
  <c r="C128" i="10"/>
  <c r="C213" i="5"/>
  <c r="J128" i="10"/>
  <c r="J213" i="5"/>
  <c r="E29" i="10"/>
  <c r="E97" i="5"/>
  <c r="D29" i="10"/>
  <c r="N18" i="10"/>
  <c r="O18" i="10" s="1"/>
  <c r="P18" i="10" s="1"/>
  <c r="D97" i="5"/>
  <c r="N102" i="5"/>
  <c r="O102" i="5" s="1"/>
  <c r="P102" i="5" s="1"/>
  <c r="E27" i="4"/>
  <c r="E14" i="3" s="1"/>
  <c r="E14" i="2" s="1"/>
  <c r="N154" i="5"/>
  <c r="O9" i="4"/>
  <c r="C10" i="3"/>
  <c r="O200" i="5"/>
  <c r="P200" i="5" s="1"/>
  <c r="N31" i="4"/>
  <c r="O31" i="4" s="1"/>
  <c r="P31" i="4" s="1"/>
  <c r="D18" i="3"/>
  <c r="O30" i="4"/>
  <c r="P30" i="4" s="1"/>
  <c r="C15" i="3"/>
  <c r="O12" i="4"/>
  <c r="P12" i="4" s="1"/>
  <c r="F15" i="3"/>
  <c r="F15" i="2" s="1"/>
  <c r="M33" i="4"/>
  <c r="M8" i="3"/>
  <c r="M8" i="2" s="1"/>
  <c r="O17" i="10"/>
  <c r="P17" i="10" s="1"/>
  <c r="K29" i="10"/>
  <c r="K97" i="5"/>
  <c r="F1861" i="7"/>
  <c r="O96" i="5"/>
  <c r="P96" i="5" s="1"/>
  <c r="F1864" i="7"/>
  <c r="O131" i="5"/>
  <c r="P131" i="5" s="1"/>
  <c r="G17" i="4"/>
  <c r="G8" i="3"/>
  <c r="G8" i="2" s="1"/>
  <c r="F1865" i="7"/>
  <c r="F13" i="3"/>
  <c r="F13" i="2" s="1"/>
  <c r="O28" i="5"/>
  <c r="P28" i="5" s="1"/>
  <c r="N9" i="4"/>
  <c r="N189" i="5"/>
  <c r="O132" i="10"/>
  <c r="P132" i="10" s="1"/>
  <c r="C226" i="5"/>
  <c r="C634" i="9"/>
  <c r="N217" i="5"/>
  <c r="O217" i="5" s="1"/>
  <c r="G95" i="10"/>
  <c r="N95" i="10" s="1"/>
  <c r="O95" i="10" s="1"/>
  <c r="P95" i="10" s="1"/>
  <c r="G205" i="5"/>
  <c r="L29" i="10"/>
  <c r="L97" i="5"/>
  <c r="C1856" i="7"/>
  <c r="H29" i="10"/>
  <c r="H97" i="5"/>
  <c r="J15" i="3"/>
  <c r="J15" i="2" s="1"/>
  <c r="I7" i="2"/>
  <c r="E46" i="4"/>
  <c r="E16" i="3"/>
  <c r="E16" i="2" s="1"/>
  <c r="E17" i="4"/>
  <c r="N13" i="4"/>
  <c r="O13" i="4" s="1"/>
  <c r="P13" i="4" s="1"/>
  <c r="D16" i="3"/>
  <c r="N29" i="4"/>
  <c r="F31" i="3"/>
  <c r="N21" i="3"/>
  <c r="O21" i="3" s="1"/>
  <c r="P21" i="3" s="1"/>
  <c r="N23" i="4"/>
  <c r="O23" i="4" s="1"/>
  <c r="P23" i="4" s="1"/>
  <c r="D10" i="3"/>
  <c r="F17" i="4"/>
  <c r="N70" i="11"/>
  <c r="O70" i="11" s="1"/>
  <c r="P70" i="11" s="1"/>
  <c r="P165" i="8"/>
  <c r="Q165" i="8" s="1"/>
  <c r="R165" i="8" s="1"/>
  <c r="F178" i="8"/>
  <c r="P178" i="8" s="1"/>
  <c r="O62" i="10"/>
  <c r="P62" i="10" s="1"/>
  <c r="N19" i="10"/>
  <c r="O19" i="10" s="1"/>
  <c r="P19" i="10" s="1"/>
  <c r="D98" i="5"/>
  <c r="N30" i="10"/>
  <c r="O30" i="10" s="1"/>
  <c r="P30" i="10" s="1"/>
  <c r="N27" i="4"/>
  <c r="O27" i="4" s="1"/>
  <c r="P27" i="4" s="1"/>
  <c r="F211" i="5"/>
  <c r="H16" i="3"/>
  <c r="H16" i="2" s="1"/>
  <c r="N166" i="5"/>
  <c r="J33" i="4"/>
  <c r="F14" i="3"/>
  <c r="F14" i="2" s="1"/>
  <c r="E13" i="3"/>
  <c r="E13" i="2" s="1"/>
  <c r="C17" i="4"/>
  <c r="N14" i="4"/>
  <c r="D17" i="3"/>
  <c r="N104" i="11"/>
  <c r="O104" i="11" s="1"/>
  <c r="P104" i="11" s="1"/>
  <c r="N87" i="11"/>
  <c r="P127" i="8"/>
  <c r="Q127" i="8" s="1"/>
  <c r="R127" i="8" s="1"/>
  <c r="N91" i="10"/>
  <c r="O91" i="10" s="1"/>
  <c r="P91" i="10" s="1"/>
  <c r="Q585" i="8"/>
  <c r="R585" i="8" s="1"/>
  <c r="Q178" i="8"/>
  <c r="R178" i="8" s="1"/>
  <c r="G29" i="10"/>
  <c r="G97" i="5"/>
  <c r="H128" i="10"/>
  <c r="H213" i="5"/>
  <c r="D33" i="10"/>
  <c r="N33" i="10" s="1"/>
  <c r="O33" i="10" s="1"/>
  <c r="P33" i="10" s="1"/>
  <c r="P829" i="7"/>
  <c r="Q829" i="7" s="1"/>
  <c r="R829" i="7" s="1"/>
  <c r="F842" i="7"/>
  <c r="P842" i="7" s="1"/>
  <c r="D101" i="5"/>
  <c r="N233" i="5"/>
  <c r="N45" i="4"/>
  <c r="O45" i="4" s="1"/>
  <c r="P45" i="4" s="1"/>
  <c r="D19" i="3"/>
  <c r="F1866" i="7"/>
  <c r="O154" i="5"/>
  <c r="P154" i="5" s="1"/>
  <c r="L211" i="5"/>
  <c r="O42" i="4"/>
  <c r="P42" i="4" s="1"/>
  <c r="O14" i="4"/>
  <c r="P14" i="4" s="1"/>
  <c r="C17" i="3"/>
  <c r="H31" i="3"/>
  <c r="O139" i="10"/>
  <c r="P139" i="10" s="1"/>
  <c r="O14" i="11"/>
  <c r="P14" i="11" s="1"/>
  <c r="F106" i="10"/>
  <c r="H17" i="11"/>
  <c r="N17" i="11" s="1"/>
  <c r="N7" i="11"/>
  <c r="O7" i="11" s="1"/>
  <c r="P7" i="11" s="1"/>
  <c r="I128" i="10"/>
  <c r="P568" i="8"/>
  <c r="Q568" i="8" s="1"/>
  <c r="R568" i="8" s="1"/>
  <c r="N89" i="10"/>
  <c r="O89" i="10" s="1"/>
  <c r="P89" i="10" s="1"/>
  <c r="D205" i="5"/>
  <c r="C106" i="10"/>
  <c r="C204" i="5"/>
  <c r="D99" i="10"/>
  <c r="O75" i="10"/>
  <c r="P75" i="10" s="1"/>
  <c r="C169" i="5"/>
  <c r="N51" i="10"/>
  <c r="N73" i="10"/>
  <c r="O73" i="10" s="1"/>
  <c r="P73" i="10" s="1"/>
  <c r="L128" i="10"/>
  <c r="L213" i="5"/>
  <c r="C101" i="5"/>
  <c r="L98" i="5"/>
  <c r="L22" i="4" s="1"/>
  <c r="L33" i="4" s="1"/>
  <c r="C40" i="10"/>
  <c r="N178" i="5"/>
  <c r="F1859" i="7"/>
  <c r="O74" i="5"/>
  <c r="P74" i="5" s="1"/>
  <c r="F1860" i="7"/>
  <c r="L17" i="4"/>
  <c r="N207" i="5"/>
  <c r="O207" i="5" s="1"/>
  <c r="P207" i="5" s="1"/>
  <c r="I46" i="4"/>
  <c r="O50" i="5"/>
  <c r="P50" i="5" s="1"/>
  <c r="N85" i="5"/>
  <c r="O85" i="5" s="1"/>
  <c r="P85" i="5" s="1"/>
  <c r="I17" i="4"/>
  <c r="I13" i="3"/>
  <c r="I13" i="2" s="1"/>
  <c r="K16" i="3"/>
  <c r="K16" i="2" s="1"/>
  <c r="O87" i="11"/>
  <c r="P87" i="11" s="1"/>
  <c r="O51" i="10"/>
  <c r="P51" i="10" s="1"/>
  <c r="L95" i="10"/>
  <c r="K128" i="10"/>
  <c r="K213" i="5"/>
  <c r="D128" i="10"/>
  <c r="N128" i="10" s="1"/>
  <c r="N119" i="10"/>
  <c r="O119" i="10" s="1"/>
  <c r="P119" i="10" s="1"/>
  <c r="D213" i="5"/>
  <c r="I95" i="10"/>
  <c r="H95" i="10"/>
  <c r="C117" i="10"/>
  <c r="O107" i="10"/>
  <c r="P107" i="10" s="1"/>
  <c r="C201" i="5"/>
  <c r="C8" i="11"/>
  <c r="O55" i="11"/>
  <c r="P55" i="11" s="1"/>
  <c r="C1869" i="7"/>
  <c r="M29" i="10"/>
  <c r="M97" i="5"/>
  <c r="P553" i="7"/>
  <c r="Q553" i="7" s="1"/>
  <c r="R553" i="7" s="1"/>
  <c r="H211" i="5"/>
  <c r="F33" i="4"/>
  <c r="F8" i="3"/>
  <c r="N17" i="5"/>
  <c r="C238" i="5"/>
  <c r="O17" i="5"/>
  <c r="P17" i="5" s="1"/>
  <c r="J17" i="4"/>
  <c r="N39" i="5"/>
  <c r="O39" i="5" s="1"/>
  <c r="P39" i="5" s="1"/>
  <c r="D24" i="3"/>
  <c r="N50" i="4"/>
  <c r="I41" i="4"/>
  <c r="I15" i="3" s="1"/>
  <c r="I15" i="2" s="1"/>
  <c r="I211" i="5"/>
  <c r="N143" i="5"/>
  <c r="O143" i="5" s="1"/>
  <c r="P143" i="5" s="1"/>
  <c r="H33" i="4"/>
  <c r="F1868" i="7"/>
  <c r="O189" i="5"/>
  <c r="P189" i="5" s="1"/>
  <c r="F1867" i="7"/>
  <c r="O166" i="5"/>
  <c r="P166" i="5" s="1"/>
  <c r="K17" i="4"/>
  <c r="N10" i="11"/>
  <c r="O10" i="11" s="1"/>
  <c r="P10" i="11" s="1"/>
  <c r="E8" i="3"/>
  <c r="E8" i="2" s="1"/>
  <c r="P859" i="7"/>
  <c r="Q859" i="7" s="1"/>
  <c r="R859" i="7" s="1"/>
  <c r="Q842" i="7"/>
  <c r="R842" i="7" s="1"/>
  <c r="C1863" i="7"/>
  <c r="F825" i="7"/>
  <c r="P825" i="7" s="1"/>
  <c r="Q825" i="7" s="1"/>
  <c r="R825" i="7" s="1"/>
  <c r="P810" i="7"/>
  <c r="Q810" i="7" s="1"/>
  <c r="R810" i="7" s="1"/>
  <c r="N24" i="10"/>
  <c r="O24" i="10" s="1"/>
  <c r="P24" i="10" s="1"/>
  <c r="D103" i="5"/>
  <c r="N57" i="4"/>
  <c r="E211" i="5"/>
  <c r="N119" i="5"/>
  <c r="O119" i="5" s="1"/>
  <c r="P119" i="5" s="1"/>
  <c r="O29" i="4"/>
  <c r="P29" i="4" s="1"/>
  <c r="D17" i="4"/>
  <c r="N8" i="4"/>
  <c r="O8" i="4" s="1"/>
  <c r="P8" i="4" s="1"/>
  <c r="H17" i="4"/>
  <c r="C19" i="3"/>
  <c r="O16" i="4"/>
  <c r="P16" i="4" s="1"/>
  <c r="N10" i="4"/>
  <c r="O10" i="4" s="1"/>
  <c r="P10" i="4" s="1"/>
  <c r="C10" i="2"/>
  <c r="O10" i="2" s="1"/>
  <c r="P10" i="2" s="1"/>
  <c r="O11" i="3"/>
  <c r="P11" i="3" s="1"/>
  <c r="C16" i="3"/>
  <c r="N15" i="4"/>
  <c r="O15" i="4" s="1"/>
  <c r="P15" i="4" s="1"/>
  <c r="E18" i="3"/>
  <c r="E18" i="2" s="1"/>
  <c r="M18" i="4" l="1"/>
  <c r="M7" i="3" s="1"/>
  <c r="M108" i="5"/>
  <c r="L35" i="4"/>
  <c r="L46" i="4" s="1"/>
  <c r="L222" i="5"/>
  <c r="C39" i="4"/>
  <c r="O226" i="5"/>
  <c r="P226" i="5" s="1"/>
  <c r="C50" i="4"/>
  <c r="C233" i="5"/>
  <c r="D9" i="2"/>
  <c r="N9" i="2" s="1"/>
  <c r="N10" i="3"/>
  <c r="E33" i="4"/>
  <c r="D40" i="4"/>
  <c r="N205" i="5"/>
  <c r="O205" i="5" s="1"/>
  <c r="P205" i="5" s="1"/>
  <c r="D19" i="2"/>
  <c r="N19" i="2" s="1"/>
  <c r="N19" i="3"/>
  <c r="N98" i="5"/>
  <c r="O98" i="5" s="1"/>
  <c r="P98" i="5" s="1"/>
  <c r="D22" i="4"/>
  <c r="L108" i="5"/>
  <c r="L18" i="4"/>
  <c r="L7" i="3" s="1"/>
  <c r="N41" i="4"/>
  <c r="O41" i="4" s="1"/>
  <c r="P41" i="4" s="1"/>
  <c r="D18" i="2"/>
  <c r="N18" i="2" s="1"/>
  <c r="O18" i="2" s="1"/>
  <c r="P18" i="2" s="1"/>
  <c r="N18" i="3"/>
  <c r="O18" i="3" s="1"/>
  <c r="P18" i="3" s="1"/>
  <c r="D108" i="5"/>
  <c r="N97" i="5"/>
  <c r="O97" i="5" s="1"/>
  <c r="P97" i="5" s="1"/>
  <c r="D18" i="4"/>
  <c r="C222" i="5"/>
  <c r="C35" i="4"/>
  <c r="C16" i="2"/>
  <c r="N103" i="5"/>
  <c r="O103" i="5" s="1"/>
  <c r="P103" i="5" s="1"/>
  <c r="D28" i="4"/>
  <c r="F8" i="2"/>
  <c r="F20" i="2" s="1"/>
  <c r="F20" i="3"/>
  <c r="O8" i="11"/>
  <c r="P8" i="11" s="1"/>
  <c r="C17" i="11"/>
  <c r="O17" i="11" s="1"/>
  <c r="P17" i="11" s="1"/>
  <c r="L8" i="3"/>
  <c r="L8" i="2" s="1"/>
  <c r="G108" i="5"/>
  <c r="G18" i="4"/>
  <c r="G7" i="3" s="1"/>
  <c r="O128" i="10"/>
  <c r="P128" i="10" s="1"/>
  <c r="O201" i="5"/>
  <c r="P201" i="5" s="1"/>
  <c r="C211" i="5"/>
  <c r="C240" i="5" s="1"/>
  <c r="D606" i="8" s="1"/>
  <c r="C34" i="4"/>
  <c r="D17" i="2"/>
  <c r="N17" i="2" s="1"/>
  <c r="N17" i="3"/>
  <c r="O17" i="3" s="1"/>
  <c r="P17" i="3" s="1"/>
  <c r="G40" i="4"/>
  <c r="G211" i="5"/>
  <c r="N29" i="10"/>
  <c r="O29" i="10" s="1"/>
  <c r="P29" i="10" s="1"/>
  <c r="J222" i="5"/>
  <c r="J35" i="4"/>
  <c r="D318" i="6"/>
  <c r="K222" i="5"/>
  <c r="K35" i="4"/>
  <c r="O169" i="5"/>
  <c r="P169" i="5" s="1"/>
  <c r="C22" i="4"/>
  <c r="C178" i="5"/>
  <c r="C17" i="2"/>
  <c r="I20" i="2"/>
  <c r="N24" i="3"/>
  <c r="D31" i="3"/>
  <c r="N31" i="3" s="1"/>
  <c r="C26" i="4"/>
  <c r="C108" i="5"/>
  <c r="D26" i="4"/>
  <c r="N101" i="5"/>
  <c r="O101" i="5" s="1"/>
  <c r="P101" i="5" s="1"/>
  <c r="I20" i="3"/>
  <c r="O10" i="3"/>
  <c r="P10" i="3" s="1"/>
  <c r="C9" i="2"/>
  <c r="O9" i="2" s="1"/>
  <c r="P9" i="2" s="1"/>
  <c r="E18" i="4"/>
  <c r="E7" i="3" s="1"/>
  <c r="E108" i="5"/>
  <c r="O19" i="3"/>
  <c r="P19" i="3" s="1"/>
  <c r="C19" i="2"/>
  <c r="D35" i="4"/>
  <c r="N213" i="5"/>
  <c r="O213" i="5" s="1"/>
  <c r="P213" i="5" s="1"/>
  <c r="D222" i="5"/>
  <c r="H222" i="5"/>
  <c r="H35" i="4"/>
  <c r="N17" i="4"/>
  <c r="O17" i="4" s="1"/>
  <c r="P17" i="4" s="1"/>
  <c r="N99" i="10"/>
  <c r="O99" i="10" s="1"/>
  <c r="P99" i="10" s="1"/>
  <c r="D204" i="5"/>
  <c r="D106" i="10"/>
  <c r="N106" i="10" s="1"/>
  <c r="O106" i="10" s="1"/>
  <c r="P106" i="10" s="1"/>
  <c r="A238" i="5"/>
  <c r="E318" i="6"/>
  <c r="D40" i="10"/>
  <c r="N40" i="10" s="1"/>
  <c r="O40" i="10" s="1"/>
  <c r="P40" i="10" s="1"/>
  <c r="N16" i="3"/>
  <c r="O16" i="3" s="1"/>
  <c r="P16" i="3" s="1"/>
  <c r="D16" i="2"/>
  <c r="N16" i="2" s="1"/>
  <c r="H108" i="5"/>
  <c r="H18" i="4"/>
  <c r="H7" i="3" s="1"/>
  <c r="K108" i="5"/>
  <c r="K18" i="4"/>
  <c r="K7" i="3" s="1"/>
  <c r="C15" i="2"/>
  <c r="O16" i="2" l="1"/>
  <c r="P16" i="2" s="1"/>
  <c r="C24" i="3"/>
  <c r="O50" i="4"/>
  <c r="P50" i="4" s="1"/>
  <c r="C57" i="4"/>
  <c r="H7" i="2"/>
  <c r="N35" i="4"/>
  <c r="O35" i="4" s="1"/>
  <c r="P35" i="4" s="1"/>
  <c r="D46" i="4"/>
  <c r="O17" i="2"/>
  <c r="P17" i="2" s="1"/>
  <c r="D39" i="4"/>
  <c r="N39" i="4" s="1"/>
  <c r="N204" i="5"/>
  <c r="O204" i="5" s="1"/>
  <c r="P204" i="5" s="1"/>
  <c r="D211" i="5"/>
  <c r="N211" i="5" s="1"/>
  <c r="O19" i="2"/>
  <c r="P19" i="2" s="1"/>
  <c r="N26" i="4"/>
  <c r="O26" i="4" s="1"/>
  <c r="P26" i="4" s="1"/>
  <c r="D13" i="3"/>
  <c r="J46" i="4"/>
  <c r="J8" i="3"/>
  <c r="C46" i="4"/>
  <c r="O34" i="4"/>
  <c r="P34" i="4" s="1"/>
  <c r="C7" i="3"/>
  <c r="N40" i="4"/>
  <c r="O40" i="4" s="1"/>
  <c r="P40" i="4" s="1"/>
  <c r="D14" i="3"/>
  <c r="F1863" i="7"/>
  <c r="C239" i="5"/>
  <c r="F1869" i="7"/>
  <c r="O178" i="5"/>
  <c r="P178" i="5" s="1"/>
  <c r="O211" i="5"/>
  <c r="P211" i="5" s="1"/>
  <c r="L20" i="3"/>
  <c r="L7" i="2"/>
  <c r="L20" i="2" s="1"/>
  <c r="O39" i="4"/>
  <c r="P39" i="4" s="1"/>
  <c r="C13" i="3"/>
  <c r="C8" i="3"/>
  <c r="C33" i="4"/>
  <c r="E20" i="3"/>
  <c r="E7" i="2"/>
  <c r="E20" i="2" s="1"/>
  <c r="N18" i="4"/>
  <c r="O18" i="4" s="1"/>
  <c r="P18" i="4" s="1"/>
  <c r="D7" i="3"/>
  <c r="D33" i="4"/>
  <c r="N33" i="4" s="1"/>
  <c r="N22" i="4"/>
  <c r="O22" i="4" s="1"/>
  <c r="P22" i="4" s="1"/>
  <c r="D8" i="3"/>
  <c r="K20" i="3"/>
  <c r="K7" i="2"/>
  <c r="K20" i="2" s="1"/>
  <c r="K46" i="4"/>
  <c r="K8" i="3"/>
  <c r="K8" i="2" s="1"/>
  <c r="G46" i="4"/>
  <c r="G14" i="3"/>
  <c r="G14" i="2" s="1"/>
  <c r="G7" i="2"/>
  <c r="N28" i="4"/>
  <c r="O28" i="4" s="1"/>
  <c r="P28" i="4" s="1"/>
  <c r="D15" i="3"/>
  <c r="H46" i="4"/>
  <c r="H8" i="3"/>
  <c r="H8" i="2" s="1"/>
  <c r="N222" i="5"/>
  <c r="O222" i="5" s="1"/>
  <c r="P222" i="5" s="1"/>
  <c r="N108" i="5"/>
  <c r="O108" i="5" s="1"/>
  <c r="P108" i="5" s="1"/>
  <c r="D634" i="9"/>
  <c r="O233" i="5"/>
  <c r="P233" i="5" s="1"/>
  <c r="C241" i="5"/>
  <c r="M20" i="3"/>
  <c r="M7" i="2"/>
  <c r="M20" i="2" s="1"/>
  <c r="N46" i="4" l="1"/>
  <c r="G20" i="2"/>
  <c r="H1856" i="7"/>
  <c r="A239" i="5"/>
  <c r="O33" i="4"/>
  <c r="P33" i="4" s="1"/>
  <c r="C61" i="4"/>
  <c r="A243" i="5" s="1"/>
  <c r="H20" i="3"/>
  <c r="D13" i="2"/>
  <c r="N13" i="2" s="1"/>
  <c r="N13" i="3"/>
  <c r="G20" i="3"/>
  <c r="D8" i="2"/>
  <c r="N8" i="3"/>
  <c r="C8" i="2"/>
  <c r="O8" i="3"/>
  <c r="P8" i="3" s="1"/>
  <c r="H20" i="2"/>
  <c r="D14" i="2"/>
  <c r="N14" i="2" s="1"/>
  <c r="O14" i="2" s="1"/>
  <c r="P14" i="2" s="1"/>
  <c r="N14" i="3"/>
  <c r="O14" i="3" s="1"/>
  <c r="P14" i="3" s="1"/>
  <c r="C20" i="3"/>
  <c r="C7" i="2"/>
  <c r="E634" i="9"/>
  <c r="A241" i="5"/>
  <c r="O57" i="4"/>
  <c r="P57" i="4" s="1"/>
  <c r="C62" i="4"/>
  <c r="O13" i="3"/>
  <c r="P13" i="3" s="1"/>
  <c r="C13" i="2"/>
  <c r="D20" i="3"/>
  <c r="D7" i="2"/>
  <c r="N7" i="3"/>
  <c r="O7" i="3" s="1"/>
  <c r="P7" i="3" s="1"/>
  <c r="F1856" i="7"/>
  <c r="C243" i="5"/>
  <c r="E606" i="8"/>
  <c r="A240" i="5"/>
  <c r="O46" i="4"/>
  <c r="P46" i="4" s="1"/>
  <c r="O24" i="3"/>
  <c r="P24" i="3" s="1"/>
  <c r="C31" i="3"/>
  <c r="O31" i="3" s="1"/>
  <c r="P31" i="3" s="1"/>
  <c r="D15" i="2"/>
  <c r="N15" i="2" s="1"/>
  <c r="O15" i="2" s="1"/>
  <c r="P15" i="2" s="1"/>
  <c r="N15" i="3"/>
  <c r="O15" i="3" s="1"/>
  <c r="P15" i="3" s="1"/>
  <c r="J8" i="2"/>
  <c r="J20" i="2" s="1"/>
  <c r="J20" i="3"/>
  <c r="N7" i="2" l="1"/>
  <c r="O7" i="2" s="1"/>
  <c r="P7" i="2" s="1"/>
  <c r="D20" i="2"/>
  <c r="N20" i="2" s="1"/>
  <c r="N20" i="3"/>
  <c r="N8" i="2"/>
  <c r="O8" i="2" s="1"/>
  <c r="P8" i="2" s="1"/>
  <c r="O13" i="2"/>
  <c r="P13" i="2" s="1"/>
  <c r="C35" i="3"/>
  <c r="A62" i="4" s="1"/>
  <c r="O20" i="3"/>
  <c r="P20" i="3" s="1"/>
  <c r="A61" i="4"/>
  <c r="C20" i="2"/>
  <c r="A35" i="3" l="1"/>
  <c r="O20" i="2"/>
  <c r="P20" i="2" s="1"/>
</calcChain>
</file>

<file path=xl/sharedStrings.xml><?xml version="1.0" encoding="utf-8"?>
<sst xmlns="http://schemas.openxmlformats.org/spreadsheetml/2006/main" count="5532" uniqueCount="747">
  <si>
    <t>Key to Locations, Areas, Neighborhoods, Lots, and Structures</t>
  </si>
  <si>
    <t>Location</t>
  </si>
  <si>
    <t>La Jolla</t>
  </si>
  <si>
    <t>Medical Center</t>
  </si>
  <si>
    <t>Campus</t>
  </si>
  <si>
    <t>Hillcrest</t>
  </si>
  <si>
    <t>Area</t>
  </si>
  <si>
    <t>Scripps Institution</t>
  </si>
  <si>
    <t>West</t>
  </si>
  <si>
    <t>East</t>
  </si>
  <si>
    <t>Medical</t>
  </si>
  <si>
    <t>of</t>
  </si>
  <si>
    <t>Center</t>
  </si>
  <si>
    <t>Oceanography</t>
  </si>
  <si>
    <t>Neighborhood</t>
  </si>
  <si>
    <t>SIO</t>
  </si>
  <si>
    <t>Aquarium</t>
  </si>
  <si>
    <t>Theatre</t>
  </si>
  <si>
    <t>Revelle</t>
  </si>
  <si>
    <t>Muir</t>
  </si>
  <si>
    <t>Marshall</t>
  </si>
  <si>
    <t>North</t>
  </si>
  <si>
    <t>Roosevelt</t>
  </si>
  <si>
    <t>N. Torrey Pines</t>
  </si>
  <si>
    <t>Warren</t>
  </si>
  <si>
    <t>Sixth</t>
  </si>
  <si>
    <t>University</t>
  </si>
  <si>
    <t>School</t>
  </si>
  <si>
    <t>Science</t>
  </si>
  <si>
    <t>Health</t>
  </si>
  <si>
    <t>South</t>
  </si>
  <si>
    <t>Hillside</t>
  </si>
  <si>
    <t>District</t>
  </si>
  <si>
    <t>College</t>
  </si>
  <si>
    <t>and</t>
  </si>
  <si>
    <t>Services</t>
  </si>
  <si>
    <t>Research</t>
  </si>
  <si>
    <t>Sciences</t>
  </si>
  <si>
    <t>Structures</t>
  </si>
  <si>
    <t>Lots</t>
  </si>
  <si>
    <t>Glider Port</t>
  </si>
  <si>
    <t>Complex</t>
  </si>
  <si>
    <t>Medicine</t>
  </si>
  <si>
    <t>Academic</t>
  </si>
  <si>
    <t>Park</t>
  </si>
  <si>
    <t>Lot</t>
  </si>
  <si>
    <t>P001</t>
  </si>
  <si>
    <t>P009</t>
  </si>
  <si>
    <t>P014</t>
  </si>
  <si>
    <t>P017</t>
  </si>
  <si>
    <t>P105</t>
  </si>
  <si>
    <t>P101</t>
  </si>
  <si>
    <t>P113</t>
  </si>
  <si>
    <t>P302</t>
  </si>
  <si>
    <t>P351</t>
  </si>
  <si>
    <t>P306</t>
  </si>
  <si>
    <t>P381</t>
  </si>
  <si>
    <t>P418</t>
  </si>
  <si>
    <t>P507</t>
  </si>
  <si>
    <t>P401</t>
  </si>
  <si>
    <t>P405</t>
  </si>
  <si>
    <t>P601</t>
  </si>
  <si>
    <t>P701</t>
  </si>
  <si>
    <t>P782 ***</t>
  </si>
  <si>
    <t>P721</t>
  </si>
  <si>
    <t>P751</t>
  </si>
  <si>
    <t>P901</t>
  </si>
  <si>
    <t>P941</t>
  </si>
  <si>
    <t>P002</t>
  </si>
  <si>
    <t>P010</t>
  </si>
  <si>
    <t>P015</t>
  </si>
  <si>
    <t>P021</t>
  </si>
  <si>
    <t>P102</t>
  </si>
  <si>
    <t>P114</t>
  </si>
  <si>
    <t>P303</t>
  </si>
  <si>
    <t>P352</t>
  </si>
  <si>
    <t>P341</t>
  </si>
  <si>
    <t>P382</t>
  </si>
  <si>
    <t>P502</t>
  </si>
  <si>
    <t>P510</t>
  </si>
  <si>
    <t>P402</t>
  </si>
  <si>
    <t>P407</t>
  </si>
  <si>
    <t>P602</t>
  </si>
  <si>
    <t>P703</t>
  </si>
  <si>
    <t>P784</t>
  </si>
  <si>
    <t>P722</t>
  </si>
  <si>
    <t>P752</t>
  </si>
  <si>
    <t>P902</t>
  </si>
  <si>
    <t>P942</t>
  </si>
  <si>
    <t>P003</t>
  </si>
  <si>
    <t>P011</t>
  </si>
  <si>
    <t>P016</t>
  </si>
  <si>
    <t>P103</t>
  </si>
  <si>
    <t>P201</t>
  </si>
  <si>
    <t>P304</t>
  </si>
  <si>
    <t>P357</t>
  </si>
  <si>
    <t>P342</t>
  </si>
  <si>
    <t>P383</t>
  </si>
  <si>
    <t>P503</t>
  </si>
  <si>
    <t>P406</t>
  </si>
  <si>
    <t>P408</t>
  </si>
  <si>
    <t>P603</t>
  </si>
  <si>
    <t>P704</t>
  </si>
  <si>
    <t>P785</t>
  </si>
  <si>
    <t>P731</t>
  </si>
  <si>
    <t>P753</t>
  </si>
  <si>
    <t>P903</t>
  </si>
  <si>
    <t>P952</t>
  </si>
  <si>
    <t>P004</t>
  </si>
  <si>
    <t>P012</t>
  </si>
  <si>
    <t>P106</t>
  </si>
  <si>
    <t>P202</t>
  </si>
  <si>
    <t>P308</t>
  </si>
  <si>
    <t>P358</t>
  </si>
  <si>
    <t>P343</t>
  </si>
  <si>
    <t>P384</t>
  </si>
  <si>
    <t>P504</t>
  </si>
  <si>
    <t>P451</t>
  </si>
  <si>
    <t>P410</t>
  </si>
  <si>
    <t>P604</t>
  </si>
  <si>
    <t>P705</t>
  </si>
  <si>
    <t>P732</t>
  </si>
  <si>
    <t>P757</t>
  </si>
  <si>
    <t>P904</t>
  </si>
  <si>
    <t>P953</t>
  </si>
  <si>
    <t>P005</t>
  </si>
  <si>
    <t>P013</t>
  </si>
  <si>
    <t>P107</t>
  </si>
  <si>
    <t>P203</t>
  </si>
  <si>
    <t>P309</t>
  </si>
  <si>
    <t>P359</t>
  </si>
  <si>
    <t>P344</t>
  </si>
  <si>
    <t>P385</t>
  </si>
  <si>
    <t>P505</t>
  </si>
  <si>
    <t>P452</t>
  </si>
  <si>
    <t>P411</t>
  </si>
  <si>
    <t>P605</t>
  </si>
  <si>
    <t>P706</t>
  </si>
  <si>
    <t>P791</t>
  </si>
  <si>
    <t>P733</t>
  </si>
  <si>
    <t>P758</t>
  </si>
  <si>
    <t>P905</t>
  </si>
  <si>
    <t>P954</t>
  </si>
  <si>
    <t>P006</t>
  </si>
  <si>
    <t>P108</t>
  </si>
  <si>
    <t>P204</t>
  </si>
  <si>
    <t>P310</t>
  </si>
  <si>
    <t>P345</t>
  </si>
  <si>
    <t>P386</t>
  </si>
  <si>
    <t>P508</t>
  </si>
  <si>
    <t>P453</t>
  </si>
  <si>
    <t>P412</t>
  </si>
  <si>
    <t>P606</t>
  </si>
  <si>
    <t>P792</t>
  </si>
  <si>
    <t>P734</t>
  </si>
  <si>
    <t>P759</t>
  </si>
  <si>
    <t>P906</t>
  </si>
  <si>
    <t>P955</t>
  </si>
  <si>
    <t>P007</t>
  </si>
  <si>
    <t>P110</t>
  </si>
  <si>
    <t>P205</t>
  </si>
  <si>
    <t>P346</t>
  </si>
  <si>
    <t>P391</t>
  </si>
  <si>
    <t>P509</t>
  </si>
  <si>
    <t>P454</t>
  </si>
  <si>
    <t>P413</t>
  </si>
  <si>
    <t>P607</t>
  </si>
  <si>
    <t>P793</t>
  </si>
  <si>
    <t>P735</t>
  </si>
  <si>
    <t>P760</t>
  </si>
  <si>
    <t>P907</t>
  </si>
  <si>
    <t>P956</t>
  </si>
  <si>
    <t>P008</t>
  </si>
  <si>
    <t>P111</t>
  </si>
  <si>
    <t>P206</t>
  </si>
  <si>
    <t>P347</t>
  </si>
  <si>
    <t>P392</t>
  </si>
  <si>
    <t>P455</t>
  </si>
  <si>
    <t>P415</t>
  </si>
  <si>
    <t>P608</t>
  </si>
  <si>
    <t>P741</t>
  </si>
  <si>
    <t>P761</t>
  </si>
  <si>
    <t>P908</t>
  </si>
  <si>
    <t>P957</t>
  </si>
  <si>
    <t>P112</t>
  </si>
  <si>
    <t>P353</t>
  </si>
  <si>
    <t>P393</t>
  </si>
  <si>
    <t>P456</t>
  </si>
  <si>
    <t>P416</t>
  </si>
  <si>
    <t>P610</t>
  </si>
  <si>
    <t>P742</t>
  </si>
  <si>
    <t>P762</t>
  </si>
  <si>
    <t>P909</t>
  </si>
  <si>
    <t>P958</t>
  </si>
  <si>
    <t>P116</t>
  </si>
  <si>
    <t>P354</t>
  </si>
  <si>
    <t>P394</t>
  </si>
  <si>
    <t>P506</t>
  </si>
  <si>
    <t>P501</t>
  </si>
  <si>
    <t>P651</t>
  </si>
  <si>
    <t>P743</t>
  </si>
  <si>
    <t>P910</t>
  </si>
  <si>
    <t>P964</t>
  </si>
  <si>
    <t>P211</t>
  </si>
  <si>
    <t>P371</t>
  </si>
  <si>
    <t>P395</t>
  </si>
  <si>
    <t>P652</t>
  </si>
  <si>
    <t>P744</t>
  </si>
  <si>
    <t>P911</t>
  </si>
  <si>
    <t>P212</t>
  </si>
  <si>
    <t>P372</t>
  </si>
  <si>
    <t>P653</t>
  </si>
  <si>
    <t>P745</t>
  </si>
  <si>
    <t>P912</t>
  </si>
  <si>
    <t>P213</t>
  </si>
  <si>
    <t>P373</t>
  </si>
  <si>
    <t>P654</t>
  </si>
  <si>
    <t>P746</t>
  </si>
  <si>
    <t>P913</t>
  </si>
  <si>
    <t>P414</t>
  </si>
  <si>
    <t>P374</t>
  </si>
  <si>
    <t>P655</t>
  </si>
  <si>
    <t>P747</t>
  </si>
  <si>
    <t>P914</t>
  </si>
  <si>
    <t>P375</t>
  </si>
  <si>
    <t>P921</t>
  </si>
  <si>
    <t>P376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</si>
  <si>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</si>
  <si>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</si>
  <si>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</si>
  <si>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</si>
  <si>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</si>
  <si>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</si>
  <si>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</si>
  <si>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</si>
  <si>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</si>
  <si>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</si>
  <si>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P962</t>
  </si>
  <si>
    <t>P963</t>
  </si>
  <si>
    <t>Structure</t>
  </si>
  <si>
    <t>Scholars</t>
  </si>
  <si>
    <t>Hopkins</t>
  </si>
  <si>
    <t>TPC South</t>
  </si>
  <si>
    <t>Gilman</t>
  </si>
  <si>
    <t>South***</t>
  </si>
  <si>
    <t>Vela/</t>
  </si>
  <si>
    <t>Campus Pt East</t>
  </si>
  <si>
    <t>Arbor</t>
  </si>
  <si>
    <t>140 Arbor</t>
  </si>
  <si>
    <t>(P211-3)</t>
  </si>
  <si>
    <t>(P341-7)</t>
  </si>
  <si>
    <t>(P381-2)</t>
  </si>
  <si>
    <t>(P451-6)</t>
  </si>
  <si>
    <t>(P651-6)</t>
  </si>
  <si>
    <t>Nuevo W.</t>
  </si>
  <si>
    <t>(P721-2)</t>
  </si>
  <si>
    <t>(P901-14)</t>
  </si>
  <si>
    <t>(P941-2)</t>
  </si>
  <si>
    <t>Pangea</t>
  </si>
  <si>
    <t>TPC North</t>
  </si>
  <si>
    <t>(P791-3)</t>
  </si>
  <si>
    <t>Campus Pt West</t>
  </si>
  <si>
    <t>Bachman</t>
  </si>
  <si>
    <t>(P371-6)</t>
  </si>
  <si>
    <t>(P391-4)</t>
  </si>
  <si>
    <t xml:space="preserve">*** </t>
  </si>
  <si>
    <t>(P731-5)</t>
  </si>
  <si>
    <t>(P921-31)</t>
  </si>
  <si>
    <t>Formerly</t>
  </si>
  <si>
    <t>Athena</t>
  </si>
  <si>
    <t>Osler</t>
  </si>
  <si>
    <t>(P741-7)</t>
  </si>
  <si>
    <t>Lot Completely Closed</t>
  </si>
  <si>
    <t>Lot number strikethrough if closure is permanent</t>
  </si>
  <si>
    <t>Total Inventory Numbers Affected by Construction</t>
  </si>
  <si>
    <t>Closed for COVID-19 testing</t>
  </si>
  <si>
    <t>*** P782 Scheduled to open for parking January 24, 2022</t>
  </si>
  <si>
    <t>Data Not Collected</t>
  </si>
  <si>
    <t>University of California, San Diego Survey of Parking Space Occupancy Levels, Spring 2022</t>
  </si>
  <si>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</si>
  <si>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</si>
  <si>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</si>
  <si>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</si>
  <si>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</si>
  <si>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</si>
  <si>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</si>
  <si>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</si>
  <si>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</si>
  <si>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</si>
  <si>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</si>
  <si>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</si>
  <si>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</si>
  <si>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</si>
  <si>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</si>
  <si>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</si>
  <si>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</si>
  <si>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</si>
  <si>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</si>
  <si>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</si>
  <si>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</si>
  <si>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A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</si>
  <si>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</si>
  <si>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</si>
  <si>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</si>
  <si>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</si>
  <si>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</si>
  <si>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</si>
  <si>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</si>
  <si>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</si>
  <si>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</si>
  <si>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</si>
  <si>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</si>
  <si>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</si>
  <si>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</si>
  <si>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</si>
  <si>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Location</t>
  </si>
  <si>
    <t>$3/Supersaver</t>
  </si>
  <si>
    <t>From 'Univ-wide'</t>
  </si>
  <si>
    <t>From 'By Location'</t>
  </si>
  <si>
    <t>University total</t>
  </si>
  <si>
    <t>By Area</t>
  </si>
  <si>
    <t>Scripps</t>
  </si>
  <si>
    <t>Institution</t>
  </si>
  <si>
    <t>2hr A</t>
  </si>
  <si>
    <t>4hr A</t>
  </si>
  <si>
    <t>24/7 Enforced A</t>
  </si>
  <si>
    <t xml:space="preserve">Temporarily Closed for COVID Testing                       					</t>
  </si>
  <si>
    <t>From 'By Area'</t>
  </si>
  <si>
    <t>La Jolla total</t>
  </si>
  <si>
    <t>By Neighborhood</t>
  </si>
  <si>
    <t>Closed</t>
  </si>
  <si>
    <t xml:space="preserve">due to </t>
  </si>
  <si>
    <t>Construction</t>
  </si>
  <si>
    <t>24/7 Enforced As</t>
  </si>
  <si>
    <t>2hr As</t>
  </si>
  <si>
    <t>Portions</t>
  </si>
  <si>
    <t xml:space="preserve">Affected </t>
  </si>
  <si>
    <t>By</t>
  </si>
  <si>
    <t>Totals are Affected</t>
  </si>
  <si>
    <t xml:space="preserve">by COVID </t>
  </si>
  <si>
    <t xml:space="preserve">Vaccination </t>
  </si>
  <si>
    <t xml:space="preserve">Station </t>
  </si>
  <si>
    <t>at RIMAC</t>
  </si>
  <si>
    <t>Torrey</t>
  </si>
  <si>
    <t>Pines</t>
  </si>
  <si>
    <t>$3/Super Saver</t>
  </si>
  <si>
    <t>Glider</t>
  </si>
  <si>
    <t>Port</t>
  </si>
  <si>
    <t xml:space="preserve">Temporarily Closed for COVID Testing                       					 </t>
  </si>
  <si>
    <t>total affected by</t>
  </si>
  <si>
    <t>COVID-19 testing</t>
  </si>
  <si>
    <t>From 'By Neighborhood'</t>
  </si>
  <si>
    <t>West Campus</t>
  </si>
  <si>
    <t>East Campus</t>
  </si>
  <si>
    <t>SIO+W+E = La Jolla</t>
  </si>
  <si>
    <t>SIO Area - By Lot</t>
  </si>
  <si>
    <t>SpaceType</t>
  </si>
  <si>
    <t>Inventory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</si>
  <si>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</si>
  <si>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</si>
  <si>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</si>
  <si>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</si>
  <si>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</si>
  <si>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</si>
  <si>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</si>
  <si>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</si>
  <si>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</si>
  <si>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</si>
  <si>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Percent</t>
  </si>
  <si>
    <t>Visitor:</t>
  </si>
  <si>
    <t>Allocated: SIO V1G</t>
  </si>
  <si>
    <t>Allocated: V2G</t>
  </si>
  <si>
    <t>Allocated: EV</t>
  </si>
  <si>
    <t>Allocated: SIO</t>
  </si>
  <si>
    <t>Allocated:</t>
  </si>
  <si>
    <t>Allocated: LG</t>
  </si>
  <si>
    <t>Loading(Reg. + Commercial)</t>
  </si>
  <si>
    <t xml:space="preserve">Allocated: </t>
  </si>
  <si>
    <t>UC Vehicle + UC Cart</t>
  </si>
  <si>
    <t>Loading:</t>
  </si>
  <si>
    <t>Loading: 2 Bars</t>
  </si>
  <si>
    <t>Allocated: UCC Bar</t>
  </si>
  <si>
    <t>Loading: Dock</t>
  </si>
  <si>
    <t xml:space="preserve">affected by </t>
  </si>
  <si>
    <t>construction</t>
  </si>
  <si>
    <t>Allocated: CA</t>
  </si>
  <si>
    <t>Allocated: SIO B</t>
  </si>
  <si>
    <t>Visitor: Parkmobile</t>
  </si>
  <si>
    <t>Allocated: SIO S</t>
  </si>
  <si>
    <t>Allocated: BA</t>
  </si>
  <si>
    <t>By Lot</t>
  </si>
  <si>
    <t>West Campus:</t>
  </si>
  <si>
    <t>East Campus:</t>
  </si>
  <si>
    <t>West Campus Area - By Lot</t>
  </si>
  <si>
    <t>Helper</t>
  </si>
  <si>
    <t>Summary</t>
  </si>
  <si>
    <t xml:space="preserve">Permanently </t>
  </si>
  <si>
    <t>to</t>
  </si>
  <si>
    <t>Allocated: LJP</t>
  </si>
  <si>
    <t>Allocated: SCP</t>
  </si>
  <si>
    <t>Loading Dock (Catering)</t>
  </si>
  <si>
    <t>Regular As</t>
  </si>
  <si>
    <t xml:space="preserve">Closed </t>
  </si>
  <si>
    <t xml:space="preserve">to </t>
  </si>
  <si>
    <t>Reserved: ZIP</t>
  </si>
  <si>
    <t>Allocated: RIB</t>
  </si>
  <si>
    <t xml:space="preserve">Loading </t>
  </si>
  <si>
    <t xml:space="preserve">Inaccessible </t>
  </si>
  <si>
    <t>due</t>
  </si>
  <si>
    <t>Visitor: PBS</t>
  </si>
  <si>
    <t>closed for</t>
  </si>
  <si>
    <t>Allocated: CAT</t>
  </si>
  <si>
    <t>Allocated: HDH</t>
  </si>
  <si>
    <t>Allocated: V0796</t>
  </si>
  <si>
    <t xml:space="preserve">Closed to </t>
  </si>
  <si>
    <t>Allocated: HDM</t>
  </si>
  <si>
    <t>Visitor: 2hr</t>
  </si>
  <si>
    <t>Allocated: FC</t>
  </si>
  <si>
    <t>ScholarsB3</t>
  </si>
  <si>
    <t>ScholarsB2</t>
  </si>
  <si>
    <t>ScholarsB1</t>
  </si>
  <si>
    <t>Visitor: PAD</t>
  </si>
  <si>
    <t>Allocated: 5 MIN V</t>
  </si>
  <si>
    <t>Allocated: EHS</t>
  </si>
  <si>
    <t>Allocated: RSM</t>
  </si>
  <si>
    <t>Allocated: FEV</t>
  </si>
  <si>
    <t>Reserved Spaces</t>
  </si>
  <si>
    <t>(2 Included in EV total): V2G</t>
  </si>
  <si>
    <t>Allocated: ZIP</t>
  </si>
  <si>
    <t>Allocated: BCP</t>
  </si>
  <si>
    <t>Allocated: Office</t>
  </si>
  <si>
    <t>Allocated: ERV</t>
  </si>
  <si>
    <t>Allocated: PM</t>
  </si>
  <si>
    <t>Allocated: EVO</t>
  </si>
  <si>
    <t xml:space="preserve">Visitor: </t>
  </si>
  <si>
    <t>Allocated: SCRM</t>
  </si>
  <si>
    <t>Oversized B (Loading)</t>
  </si>
  <si>
    <t>Allocated: ACP</t>
  </si>
  <si>
    <t>Allocated: VP</t>
  </si>
  <si>
    <t>A 24/7 Enforced</t>
  </si>
  <si>
    <t>P403</t>
  </si>
  <si>
    <t>For</t>
  </si>
  <si>
    <t>P404</t>
  </si>
  <si>
    <t>P406a</t>
  </si>
  <si>
    <t>P406b</t>
  </si>
  <si>
    <t>Allocated: HM</t>
  </si>
  <si>
    <t>Currently in</t>
  </si>
  <si>
    <t xml:space="preserve">Use for </t>
  </si>
  <si>
    <t>Outdoor</t>
  </si>
  <si>
    <t>Classrooms</t>
  </si>
  <si>
    <t>Allocated: Target</t>
  </si>
  <si>
    <t>Allocated: CUS</t>
  </si>
  <si>
    <t>Allocated: CUV</t>
  </si>
  <si>
    <t xml:space="preserve">Allocated: Target </t>
  </si>
  <si>
    <t xml:space="preserve">Reserved </t>
  </si>
  <si>
    <t>Allocated: Campus Curbside</t>
  </si>
  <si>
    <t>UC Vehicle + Cart</t>
  </si>
  <si>
    <t>Allocated: EV &amp; V1G</t>
  </si>
  <si>
    <t>A (4 hr)</t>
  </si>
  <si>
    <t>B (1 hr)</t>
  </si>
  <si>
    <t xml:space="preserve">S </t>
  </si>
  <si>
    <t>Reserved:</t>
  </si>
  <si>
    <t>Allocated: KPU</t>
  </si>
  <si>
    <t>Allocated: PVIS</t>
  </si>
  <si>
    <t>Loading Dock</t>
  </si>
  <si>
    <t>P511</t>
  </si>
  <si>
    <t>Data not</t>
  </si>
  <si>
    <t>Collected</t>
  </si>
  <si>
    <t>Reserved: FM</t>
  </si>
  <si>
    <t>Reserved: SPP</t>
  </si>
  <si>
    <t xml:space="preserve">Reserved: </t>
  </si>
  <si>
    <t>Service Yard: Loading dock</t>
  </si>
  <si>
    <t>Cross-Checking Totals Across Sheets</t>
  </si>
  <si>
    <t>Parking Lots included:</t>
  </si>
  <si>
    <t>closed</t>
  </si>
  <si>
    <t>Theatre:           105</t>
  </si>
  <si>
    <t>Revelle:           101-112, 116</t>
  </si>
  <si>
    <t>Muir:               113, 114, 200s, 414</t>
  </si>
  <si>
    <t>Marshall:         302-304, 308-310</t>
  </si>
  <si>
    <t>NCampus:       351, 352, 357-359</t>
  </si>
  <si>
    <t>Roosevelt:       306, 340s, 353/4, 370s</t>
  </si>
  <si>
    <t>NTP &amp;GP:      380s, 390s</t>
  </si>
  <si>
    <t>Warren:           418, 503-505, 508/9</t>
  </si>
  <si>
    <t>CSC:               507, 510</t>
  </si>
  <si>
    <t>Sixth:               401/2/6, 450s, 506</t>
  </si>
  <si>
    <t>University:      405, 407/8/10-13/15, 501</t>
  </si>
  <si>
    <t>SOM:              600s</t>
  </si>
  <si>
    <t>East Campus Area - By Lot</t>
  </si>
  <si>
    <t>Reserved: V2G</t>
  </si>
  <si>
    <t>Allocated: AMB</t>
  </si>
  <si>
    <t>Allocated: ROC</t>
  </si>
  <si>
    <r>
      <rPr>
        <sz val="8"/>
        <color rgb="FF003366"/>
        <rFont val="Arial"/>
      </rPr>
      <t>UC Vehicle + Cart</t>
    </r>
    <r>
      <rPr>
        <sz val="8"/>
        <color rgb="FFFFFF00"/>
        <rFont val="Arial"/>
      </rPr>
      <t xml:space="preserve"> </t>
    </r>
  </si>
  <si>
    <t>Allocated: Preuss A</t>
  </si>
  <si>
    <t>Allocated: Preuss B</t>
  </si>
  <si>
    <t>P723</t>
  </si>
  <si>
    <t>Allocated: ER</t>
  </si>
  <si>
    <t>Allocated: LJPV</t>
  </si>
  <si>
    <t>Allocated: Visitor: Radiation</t>
  </si>
  <si>
    <t>Allocated: Visitor: Infusion</t>
  </si>
  <si>
    <t>Allocated: VAL</t>
  </si>
  <si>
    <t>Allocated: 30 MIN</t>
  </si>
  <si>
    <t>Allocated: POC</t>
  </si>
  <si>
    <t>Reserved: VAL</t>
  </si>
  <si>
    <t>Allocated: Physician A</t>
  </si>
  <si>
    <t>Allocated: ADRC</t>
  </si>
  <si>
    <t>Allocated: HDCRC</t>
  </si>
  <si>
    <t>P782</t>
  </si>
  <si>
    <t>$3/Super Saver Lot</t>
  </si>
  <si>
    <t>for</t>
  </si>
  <si>
    <t>Covid</t>
  </si>
  <si>
    <t>Testing</t>
  </si>
  <si>
    <t>Allocated: 2 Person Carpool</t>
  </si>
  <si>
    <t>Hillcrest Area - By Lot</t>
  </si>
  <si>
    <t>Allocated: CP</t>
  </si>
  <si>
    <t>Allocated: HPV</t>
  </si>
  <si>
    <t>Allocated: TO</t>
  </si>
  <si>
    <t>Allocated: EV ADA</t>
  </si>
  <si>
    <t>Allocated: 140P</t>
  </si>
  <si>
    <t>Allocated: 140V</t>
  </si>
  <si>
    <t>Affected by</t>
  </si>
  <si>
    <t>Allocated: BFH</t>
  </si>
  <si>
    <t>Allocated: FL</t>
  </si>
  <si>
    <t>Allocated: AVRC</t>
  </si>
  <si>
    <t>Allocated: MV</t>
  </si>
  <si>
    <t>Allocated: Vallet</t>
  </si>
  <si>
    <t xml:space="preserve">-  </t>
  </si>
  <si>
    <t>Used by</t>
  </si>
  <si>
    <t>Vehicles</t>
  </si>
  <si>
    <t>Lot across</t>
  </si>
  <si>
    <t xml:space="preserve">from </t>
  </si>
  <si>
    <t>CLOSED</t>
  </si>
  <si>
    <t>Due to</t>
  </si>
  <si>
    <t>Hill</t>
  </si>
  <si>
    <t>Allocated: Arbor Manor</t>
  </si>
  <si>
    <t>Allocated: Nightengale</t>
  </si>
  <si>
    <t>Allocated: EV/Carpool</t>
  </si>
  <si>
    <t>Allocated: Pulmonary</t>
  </si>
  <si>
    <t>Allocated: Security</t>
  </si>
  <si>
    <t>By Structure</t>
  </si>
  <si>
    <t xml:space="preserve">* Inventory </t>
  </si>
  <si>
    <t xml:space="preserve">* based on </t>
  </si>
  <si>
    <t>* spaces</t>
  </si>
  <si>
    <t>* available</t>
  </si>
  <si>
    <t>* 9/2/21</t>
  </si>
  <si>
    <t xml:space="preserve">South </t>
  </si>
  <si>
    <t>(P651-5)</t>
  </si>
  <si>
    <t>(Formerly Osler)</t>
  </si>
  <si>
    <t>Campus Point</t>
  </si>
  <si>
    <t>Nuevo West</t>
  </si>
  <si>
    <t>P791-3</t>
  </si>
  <si>
    <t xml:space="preserve">Only </t>
  </si>
  <si>
    <t>QPASS</t>
  </si>
  <si>
    <t xml:space="preserve">data </t>
  </si>
  <si>
    <t>collected</t>
  </si>
  <si>
    <t>South Structure Summary and By Level</t>
  </si>
  <si>
    <t>By Level</t>
  </si>
  <si>
    <t>Allocated: PO</t>
  </si>
  <si>
    <t>Parking Spaces Closed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</si>
  <si>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</si>
  <si>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</si>
  <si>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</si>
  <si>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</si>
  <si>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</si>
  <si>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</si>
  <si>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</si>
  <si>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</si>
  <si>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</si>
  <si>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</si>
  <si>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</si>
  <si>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</si>
  <si>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</si>
  <si>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</si>
  <si>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</si>
  <si>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</si>
  <si>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</si>
  <si>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</si>
  <si>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</si>
  <si>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</si>
  <si>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</si>
  <si>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</si>
  <si>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</si>
  <si>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</si>
  <si>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</si>
  <si>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</si>
  <si>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</si>
  <si>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</si>
  <si>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</si>
  <si>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</si>
  <si>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</si>
  <si>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</si>
  <si>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</si>
  <si>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</si>
  <si>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</si>
  <si>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</si>
  <si>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</si>
  <si>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</si>
  <si>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</si>
  <si>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</si>
  <si>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</si>
  <si>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</si>
  <si>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</si>
  <si>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CP</t>
  </si>
  <si>
    <t>Carpool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</si>
  <si>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</si>
  <si>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</si>
  <si>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</si>
  <si>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</si>
  <si>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</si>
  <si>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</si>
  <si>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</si>
  <si>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</si>
  <si>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</si>
  <si>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</si>
  <si>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</si>
  <si>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</si>
  <si>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</si>
  <si>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</si>
  <si>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</si>
  <si>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</si>
  <si>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</si>
  <si>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</si>
  <si>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</si>
  <si>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</si>
  <si>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</si>
  <si>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</si>
  <si>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</si>
  <si>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</si>
  <si>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</si>
  <si>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</si>
  <si>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</si>
  <si>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</si>
  <si>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</si>
  <si>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</si>
  <si>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</si>
  <si>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</si>
  <si>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</si>
  <si>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</si>
  <si>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</si>
  <si>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</si>
  <si>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</si>
  <si>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</si>
  <si>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</si>
  <si>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</si>
  <si>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</si>
  <si>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</si>
  <si>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</si>
  <si>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</si>
  <si>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</si>
  <si>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</si>
  <si>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</si>
  <si>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</si>
  <si>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</si>
  <si>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</si>
  <si>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</si>
  <si>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</si>
  <si>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</si>
  <si>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</si>
  <si>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</si>
  <si>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</si>
  <si>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</si>
  <si>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</si>
  <si>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</si>
  <si>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</si>
  <si>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</si>
  <si>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</si>
  <si>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</si>
  <si>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</si>
  <si>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</si>
  <si>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</si>
  <si>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</si>
  <si>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</si>
  <si>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</si>
  <si>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</si>
  <si>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</si>
  <si>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</si>
  <si>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</si>
  <si>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</si>
  <si>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</si>
  <si>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</si>
  <si>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</si>
  <si>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</si>
  <si>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</si>
  <si>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</si>
  <si>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</si>
  <si>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</si>
  <si>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</si>
  <si>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</si>
  <si>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</si>
  <si>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</si>
  <si>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</si>
  <si>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</si>
  <si>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</si>
  <si>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</si>
  <si>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</si>
  <si>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</si>
  <si>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</si>
  <si>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</si>
  <si>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</si>
  <si>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</si>
  <si>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</si>
  <si>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</si>
  <si>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</si>
  <si>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</si>
  <si>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</si>
  <si>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</si>
  <si>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</si>
  <si>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</si>
  <si>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</si>
  <si>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</si>
  <si>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</si>
  <si>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</si>
  <si>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Schedule</t>
  </si>
  <si>
    <t>Zone</t>
  </si>
  <si>
    <t>Week:   1</t>
  </si>
  <si>
    <t>SIO South</t>
  </si>
  <si>
    <t>T April 12</t>
  </si>
  <si>
    <t>SIO West</t>
  </si>
  <si>
    <t>SIO Hillside</t>
  </si>
  <si>
    <t>Theatre District</t>
  </si>
  <si>
    <t>T May 3</t>
  </si>
  <si>
    <t>Revelle College</t>
  </si>
  <si>
    <t>Muir College</t>
  </si>
  <si>
    <t>Scholars Structure</t>
  </si>
  <si>
    <t>W April 13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</si>
  <si>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</si>
  <si>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</si>
  <si>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</si>
  <si>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</si>
  <si>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</si>
  <si>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</si>
  <si>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W May 25</t>
  </si>
  <si>
    <t>Sixth College</t>
  </si>
  <si>
    <t>University Center</t>
  </si>
  <si>
    <t>School of Medicine</t>
  </si>
  <si>
    <t>W May 4</t>
  </si>
  <si>
    <t>East Campus Academic</t>
  </si>
  <si>
    <t>Science Research Park</t>
  </si>
  <si>
    <t>Health Sciences 1 (A)</t>
  </si>
  <si>
    <t>Health Sciences 2 (B)</t>
  </si>
  <si>
    <t>Medical Center Hillcrest 1 (a)</t>
  </si>
  <si>
    <t>Th June 1 &amp; 2</t>
  </si>
  <si>
    <t>Medical Center Hillcrest 2 (b)</t>
  </si>
  <si>
    <t>Th June 2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</si>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</sst>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General_)"/>
    <numFmt numFmtId="165" formatCode="dddd\ mmmm\ d"/>
    <numFmt numFmtId="166" formatCode="dddd\ mmm\ d"/>
  </numFmts>
  <fonts count="27" x14ac:knownFonts="1">
    <font>
      <sz val="10"/>
      <color rgb="FF000000"/>
      <name val="Open Sans"/>
      <scheme val="minor"/>
    </font>
    <font>
      <sz val="10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sz val="8"/>
      <color rgb="FF000000"/>
      <name val="Open Sans"/>
    </font>
    <font>
      <b/>
      <sz val="8"/>
      <color rgb="FF003366"/>
      <name val="Arial"/>
    </font>
    <font>
      <sz val="10"/>
      <name val="Open Sans"/>
    </font>
    <font>
      <sz val="8"/>
      <color rgb="FF003366"/>
      <name val="Arial"/>
    </font>
    <font>
      <strike/>
      <sz val="8"/>
      <color rgb="FF003366"/>
      <name val="Arial"/>
    </font>
    <font>
      <sz val="9"/>
      <color rgb="FF003366"/>
      <name val="Arial"/>
    </font>
    <font>
      <sz val="10"/>
      <color theme="1"/>
      <name val="Calibri"/>
    </font>
    <font>
      <sz val="11"/>
      <color rgb="FF003366"/>
      <name val="Arial"/>
    </font>
    <font>
      <sz val="10"/>
      <color rgb="FF000000"/>
      <name val="Calibri"/>
    </font>
    <font>
      <sz val="8"/>
      <color rgb="FFF2F2F2"/>
      <name val="Arial"/>
    </font>
    <font>
      <sz val="8"/>
      <color rgb="FFFDE9D9"/>
      <name val="Arial"/>
    </font>
    <font>
      <sz val="8"/>
      <color rgb="FFF3F3F3"/>
      <name val="Arial"/>
    </font>
    <font>
      <sz val="8"/>
      <color theme="0"/>
      <name val="Arial"/>
    </font>
    <font>
      <b/>
      <sz val="7"/>
      <color rgb="FF003366"/>
      <name val="Arial"/>
    </font>
    <font>
      <sz val="8"/>
      <color rgb="FF002060"/>
      <name val="Arial"/>
    </font>
    <font>
      <sz val="10"/>
      <color rgb="FF003366"/>
      <name val="Calibri"/>
    </font>
    <font>
      <sz val="7"/>
      <color rgb="FF000000"/>
      <name val="Open Sans"/>
    </font>
    <font>
      <sz val="10"/>
      <color theme="1"/>
      <name val="Open Sans"/>
      <scheme val="minor"/>
    </font>
    <font>
      <sz val="8"/>
      <color rgb="FF000000"/>
      <name val="Arial"/>
    </font>
    <font>
      <sz val="10"/>
      <color rgb="FF003366"/>
      <name val="Open Sans"/>
    </font>
    <font>
      <sz val="8"/>
      <color rgb="FFFF9900"/>
      <name val="Arial"/>
    </font>
    <font>
      <sz val="8"/>
      <color rgb="FF003366"/>
      <name val="Open Sans"/>
    </font>
    <font>
      <sz val="8"/>
      <color rgb="FFFFFF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79646"/>
        <bgColor rgb="FFF79646"/>
      </patternFill>
    </fill>
    <fill>
      <patternFill patternType="solid">
        <fgColor rgb="FFFBD4B4"/>
        <bgColor rgb="FFFBD4B4"/>
      </patternFill>
    </fill>
    <fill>
      <patternFill patternType="solid">
        <fgColor rgb="FFF4CCCC"/>
        <bgColor rgb="FFF4CCCC"/>
      </patternFill>
    </fill>
    <fill>
      <patternFill patternType="solid">
        <fgColor rgb="FFDAEEF3"/>
        <bgColor rgb="FFDAEEF3"/>
      </patternFill>
    </fill>
    <fill>
      <patternFill patternType="solid">
        <fgColor rgb="FFFCE5CD"/>
        <bgColor rgb="FFFCE5CD"/>
      </patternFill>
    </fill>
    <fill>
      <patternFill patternType="solid">
        <fgColor rgb="FFF2DBDB"/>
        <bgColor rgb="FFF2DBDB"/>
      </patternFill>
    </fill>
    <fill>
      <patternFill patternType="solid">
        <fgColor theme="9"/>
        <bgColor theme="9"/>
      </patternFill>
    </fill>
    <fill>
      <patternFill patternType="solid">
        <fgColor rgb="FFC3B6D4"/>
        <bgColor rgb="FFC3B6D4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8D8D8"/>
      </left>
      <right/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 style="thin">
        <color rgb="FFD8D8D8"/>
      </left>
      <right/>
      <top style="thin">
        <color rgb="FF000000"/>
      </top>
      <bottom/>
      <diagonal/>
    </border>
    <border>
      <left style="thin">
        <color rgb="FFD8D8D8"/>
      </left>
      <right style="thin">
        <color rgb="FFD8D8D8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/>
      <bottom style="thin">
        <color rgb="FF000000"/>
      </bottom>
      <diagonal/>
    </border>
  </borders>
  <cellStyleXfs count="1">
    <xf numFmtId="164" fontId="0" fillId="0" borderId="0"/>
  </cellStyleXfs>
  <cellXfs count="545">
    <xf numFmtId="164" fontId="0" fillId="0" borderId="0" xfId="0" applyAlignment="1">
      <alignment vertical="center"/>
    </xf>
    <xf numFmtId="164" fontId="1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164" fontId="4" fillId="0" borderId="0" xfId="0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vertical="center"/>
    </xf>
    <xf numFmtId="0" fontId="8" fillId="3" borderId="13" xfId="0" applyNumberFormat="1" applyFont="1" applyFill="1" applyBorder="1" applyAlignment="1">
      <alignment vertical="center"/>
    </xf>
    <xf numFmtId="0" fontId="7" fillId="0" borderId="10" xfId="0" applyNumberFormat="1" applyFont="1" applyBorder="1" applyAlignment="1">
      <alignment vertical="center"/>
    </xf>
    <xf numFmtId="0" fontId="7" fillId="4" borderId="9" xfId="0" applyNumberFormat="1" applyFont="1" applyFill="1" applyBorder="1" applyAlignment="1">
      <alignment vertical="center"/>
    </xf>
    <xf numFmtId="0" fontId="7" fillId="5" borderId="13" xfId="0" applyNumberFormat="1" applyFont="1" applyFill="1" applyBorder="1" applyAlignment="1">
      <alignment vertical="center"/>
    </xf>
    <xf numFmtId="0" fontId="7" fillId="6" borderId="13" xfId="0" applyNumberFormat="1" applyFont="1" applyFill="1" applyBorder="1" applyAlignment="1">
      <alignment vertical="center"/>
    </xf>
    <xf numFmtId="0" fontId="7" fillId="7" borderId="13" xfId="0" applyNumberFormat="1" applyFont="1" applyFill="1" applyBorder="1" applyAlignment="1">
      <alignment vertical="center"/>
    </xf>
    <xf numFmtId="0" fontId="8" fillId="5" borderId="14" xfId="0" applyNumberFormat="1" applyFont="1" applyFill="1" applyBorder="1" applyAlignment="1">
      <alignment vertical="center"/>
    </xf>
    <xf numFmtId="0" fontId="8" fillId="3" borderId="14" xfId="0" applyNumberFormat="1" applyFont="1" applyFill="1" applyBorder="1" applyAlignment="1">
      <alignment vertical="center"/>
    </xf>
    <xf numFmtId="0" fontId="7" fillId="5" borderId="14" xfId="0" applyNumberFormat="1" applyFont="1" applyFill="1" applyBorder="1" applyAlignment="1">
      <alignment vertical="center"/>
    </xf>
    <xf numFmtId="164" fontId="7" fillId="5" borderId="10" xfId="0" applyFont="1" applyFill="1" applyBorder="1" applyAlignment="1">
      <alignment vertical="center"/>
    </xf>
    <xf numFmtId="0" fontId="7" fillId="6" borderId="14" xfId="0" applyNumberFormat="1" applyFont="1" applyFill="1" applyBorder="1" applyAlignment="1">
      <alignment vertical="center"/>
    </xf>
    <xf numFmtId="164" fontId="7" fillId="0" borderId="10" xfId="0" applyFont="1" applyBorder="1" applyAlignment="1">
      <alignment vertical="center"/>
    </xf>
    <xf numFmtId="0" fontId="7" fillId="6" borderId="10" xfId="0" applyNumberFormat="1" applyFont="1" applyFill="1" applyBorder="1" applyAlignment="1">
      <alignment vertical="center"/>
    </xf>
    <xf numFmtId="0" fontId="7" fillId="2" borderId="14" xfId="0" applyNumberFormat="1" applyFont="1" applyFill="1" applyBorder="1" applyAlignment="1">
      <alignment vertical="center"/>
    </xf>
    <xf numFmtId="0" fontId="7" fillId="8" borderId="15" xfId="0" applyNumberFormat="1" applyFont="1" applyFill="1" applyBorder="1" applyAlignment="1">
      <alignment vertical="center"/>
    </xf>
    <xf numFmtId="0" fontId="7" fillId="0" borderId="8" xfId="0" applyNumberFormat="1" applyFont="1" applyBorder="1" applyAlignment="1">
      <alignment vertical="center"/>
    </xf>
    <xf numFmtId="0" fontId="7" fillId="0" borderId="7" xfId="0" applyNumberFormat="1" applyFont="1" applyBorder="1" applyAlignment="1">
      <alignment vertical="center"/>
    </xf>
    <xf numFmtId="0" fontId="7" fillId="7" borderId="14" xfId="0" applyNumberFormat="1" applyFont="1" applyFill="1" applyBorder="1" applyAlignment="1">
      <alignment vertical="center"/>
    </xf>
    <xf numFmtId="0" fontId="7" fillId="0" borderId="11" xfId="0" applyNumberFormat="1" applyFont="1" applyBorder="1" applyAlignment="1">
      <alignment vertical="center"/>
    </xf>
    <xf numFmtId="0" fontId="7" fillId="0" borderId="16" xfId="0" applyNumberFormat="1" applyFont="1" applyBorder="1" applyAlignment="1">
      <alignment vertical="center"/>
    </xf>
    <xf numFmtId="0" fontId="9" fillId="0" borderId="0" xfId="0" applyNumberFormat="1" applyFont="1" applyAlignment="1">
      <alignment vertical="center"/>
    </xf>
    <xf numFmtId="164" fontId="10" fillId="3" borderId="17" xfId="0" applyFont="1" applyFill="1" applyBorder="1" applyAlignment="1">
      <alignment vertical="center"/>
    </xf>
    <xf numFmtId="164" fontId="10" fillId="0" borderId="0" xfId="0" applyFont="1" applyAlignment="1">
      <alignment vertical="center"/>
    </xf>
    <xf numFmtId="164" fontId="10" fillId="9" borderId="17" xfId="0" applyFont="1" applyFill="1" applyBorder="1" applyAlignment="1">
      <alignment vertical="center"/>
    </xf>
    <xf numFmtId="164" fontId="1" fillId="2" borderId="17" xfId="0" applyFont="1" applyFill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7" xfId="0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>
      <alignment horizontal="center" vertical="center"/>
    </xf>
    <xf numFmtId="0" fontId="5" fillId="2" borderId="23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5" fillId="2" borderId="25" xfId="0" applyNumberFormat="1" applyFont="1" applyFill="1" applyBorder="1" applyAlignment="1">
      <alignment horizontal="center" vertical="center"/>
    </xf>
    <xf numFmtId="164" fontId="7" fillId="0" borderId="7" xfId="0" applyFont="1" applyBorder="1" applyAlignment="1">
      <alignment vertical="center"/>
    </xf>
    <xf numFmtId="164" fontId="7" fillId="0" borderId="4" xfId="0" applyFont="1" applyBorder="1" applyAlignment="1">
      <alignment vertical="center"/>
    </xf>
    <xf numFmtId="164" fontId="7" fillId="0" borderId="5" xfId="0" applyFont="1" applyBorder="1" applyAlignment="1">
      <alignment vertical="center"/>
    </xf>
    <xf numFmtId="164" fontId="7" fillId="0" borderId="6" xfId="0" applyFont="1" applyBorder="1" applyAlignment="1">
      <alignment vertical="center"/>
    </xf>
    <xf numFmtId="164" fontId="7" fillId="0" borderId="0" xfId="0" applyFont="1" applyAlignment="1">
      <alignment vertical="center"/>
    </xf>
    <xf numFmtId="9" fontId="7" fillId="0" borderId="8" xfId="0" applyNumberFormat="1" applyFont="1" applyBorder="1" applyAlignment="1">
      <alignment vertical="center"/>
    </xf>
    <xf numFmtId="164" fontId="7" fillId="0" borderId="8" xfId="0" applyFont="1" applyBorder="1" applyAlignment="1">
      <alignment vertical="center"/>
    </xf>
    <xf numFmtId="6" fontId="7" fillId="0" borderId="7" xfId="0" applyNumberFormat="1" applyFont="1" applyBorder="1" applyAlignment="1">
      <alignment horizontal="left" vertical="center"/>
    </xf>
    <xf numFmtId="164" fontId="7" fillId="0" borderId="12" xfId="0" applyFont="1" applyBorder="1" applyAlignment="1">
      <alignment vertical="center"/>
    </xf>
    <xf numFmtId="164" fontId="7" fillId="0" borderId="26" xfId="0" applyFont="1" applyBorder="1" applyAlignment="1">
      <alignment vertical="center"/>
    </xf>
    <xf numFmtId="164" fontId="7" fillId="0" borderId="16" xfId="0" applyFont="1" applyBorder="1" applyAlignment="1">
      <alignment vertical="center"/>
    </xf>
    <xf numFmtId="0" fontId="5" fillId="2" borderId="27" xfId="0" applyNumberFormat="1" applyFont="1" applyFill="1" applyBorder="1" applyAlignment="1">
      <alignment vertical="center"/>
    </xf>
    <xf numFmtId="164" fontId="5" fillId="2" borderId="27" xfId="0" applyFont="1" applyFill="1" applyBorder="1" applyAlignment="1">
      <alignment vertical="center"/>
    </xf>
    <xf numFmtId="164" fontId="5" fillId="2" borderId="23" xfId="0" applyFont="1" applyFill="1" applyBorder="1" applyAlignment="1">
      <alignment vertical="center"/>
    </xf>
    <xf numFmtId="164" fontId="5" fillId="2" borderId="24" xfId="0" applyFont="1" applyFill="1" applyBorder="1" applyAlignment="1">
      <alignment vertical="center"/>
    </xf>
    <xf numFmtId="164" fontId="5" fillId="2" borderId="25" xfId="0" applyFont="1" applyFill="1" applyBorder="1" applyAlignment="1">
      <alignment vertical="center"/>
    </xf>
    <xf numFmtId="164" fontId="5" fillId="2" borderId="28" xfId="0" applyFont="1" applyFill="1" applyBorder="1" applyAlignment="1">
      <alignment vertical="center"/>
    </xf>
    <xf numFmtId="164" fontId="5" fillId="2" borderId="29" xfId="0" applyFont="1" applyFill="1" applyBorder="1" applyAlignment="1">
      <alignment vertical="center"/>
    </xf>
    <xf numFmtId="9" fontId="5" fillId="2" borderId="30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164" fontId="7" fillId="0" borderId="0" xfId="0" applyFont="1" applyAlignment="1">
      <alignment horizontal="right" vertical="center"/>
    </xf>
    <xf numFmtId="9" fontId="7" fillId="0" borderId="8" xfId="0" applyNumberFormat="1" applyFont="1" applyBorder="1" applyAlignment="1">
      <alignment horizontal="right" vertical="center"/>
    </xf>
    <xf numFmtId="0" fontId="7" fillId="0" borderId="12" xfId="0" applyNumberFormat="1" applyFont="1" applyBorder="1" applyAlignment="1">
      <alignment vertical="center"/>
    </xf>
    <xf numFmtId="164" fontId="5" fillId="2" borderId="13" xfId="0" applyFont="1" applyFill="1" applyBorder="1" applyAlignment="1">
      <alignment vertical="center"/>
    </xf>
    <xf numFmtId="164" fontId="7" fillId="0" borderId="9" xfId="0" applyFont="1" applyBorder="1" applyAlignment="1">
      <alignment horizontal="right" vertical="center"/>
    </xf>
    <xf numFmtId="164" fontId="7" fillId="0" borderId="5" xfId="0" applyFont="1" applyBorder="1" applyAlignment="1">
      <alignment horizontal="right" vertical="center"/>
    </xf>
    <xf numFmtId="164" fontId="7" fillId="0" borderId="4" xfId="0" applyFont="1" applyBorder="1" applyAlignment="1">
      <alignment horizontal="right" vertical="center"/>
    </xf>
    <xf numFmtId="9" fontId="7" fillId="0" borderId="6" xfId="0" applyNumberFormat="1" applyFont="1" applyBorder="1" applyAlignment="1">
      <alignment horizontal="right" vertical="center"/>
    </xf>
    <xf numFmtId="164" fontId="7" fillId="0" borderId="10" xfId="0" applyFont="1" applyBorder="1" applyAlignment="1">
      <alignment horizontal="right" vertical="center"/>
    </xf>
    <xf numFmtId="164" fontId="7" fillId="0" borderId="7" xfId="0" applyFont="1" applyBorder="1" applyAlignment="1">
      <alignment horizontal="right" vertical="center"/>
    </xf>
    <xf numFmtId="164" fontId="12" fillId="0" borderId="0" xfId="0" applyFont="1" applyAlignment="1">
      <alignment vertical="center"/>
    </xf>
    <xf numFmtId="9" fontId="12" fillId="0" borderId="8" xfId="0" applyNumberFormat="1" applyFont="1" applyBorder="1" applyAlignment="1">
      <alignment vertical="center"/>
    </xf>
    <xf numFmtId="164" fontId="7" fillId="0" borderId="11" xfId="0" applyFont="1" applyBorder="1" applyAlignment="1">
      <alignment horizontal="right" vertical="center"/>
    </xf>
    <xf numFmtId="164" fontId="12" fillId="0" borderId="12" xfId="0" applyFont="1" applyBorder="1" applyAlignment="1">
      <alignment vertical="center"/>
    </xf>
    <xf numFmtId="164" fontId="5" fillId="2" borderId="22" xfId="0" applyFont="1" applyFill="1" applyBorder="1" applyAlignment="1">
      <alignment horizontal="right" vertical="center"/>
    </xf>
    <xf numFmtId="164" fontId="5" fillId="2" borderId="29" xfId="0" applyFont="1" applyFill="1" applyBorder="1" applyAlignment="1">
      <alignment horizontal="right" vertical="center"/>
    </xf>
    <xf numFmtId="164" fontId="5" fillId="2" borderId="28" xfId="0" applyFont="1" applyFill="1" applyBorder="1" applyAlignment="1">
      <alignment horizontal="right" vertical="center"/>
    </xf>
    <xf numFmtId="9" fontId="5" fillId="2" borderId="30" xfId="0" applyNumberFormat="1" applyFont="1" applyFill="1" applyBorder="1" applyAlignment="1">
      <alignment horizontal="right" vertical="center"/>
    </xf>
    <xf numFmtId="164" fontId="4" fillId="0" borderId="26" xfId="0" applyFont="1" applyBorder="1"/>
    <xf numFmtId="164" fontId="1" fillId="0" borderId="0" xfId="0" applyFont="1"/>
    <xf numFmtId="164" fontId="4" fillId="0" borderId="26" xfId="0" applyFont="1" applyBorder="1" applyAlignment="1">
      <alignment horizontal="right"/>
    </xf>
    <xf numFmtId="164" fontId="5" fillId="2" borderId="27" xfId="0" applyFont="1" applyFill="1" applyBorder="1" applyAlignment="1">
      <alignment horizontal="right" vertical="center"/>
    </xf>
    <xf numFmtId="164" fontId="13" fillId="0" borderId="10" xfId="0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8" xfId="0" applyNumberFormat="1" applyFont="1" applyBorder="1" applyAlignment="1">
      <alignment vertical="center"/>
    </xf>
    <xf numFmtId="164" fontId="13" fillId="0" borderId="0" xfId="0" applyFont="1" applyAlignment="1">
      <alignment vertical="center"/>
    </xf>
    <xf numFmtId="0" fontId="5" fillId="2" borderId="31" xfId="0" applyNumberFormat="1" applyFont="1" applyFill="1" applyBorder="1" applyAlignment="1">
      <alignment vertical="center"/>
    </xf>
    <xf numFmtId="0" fontId="5" fillId="2" borderId="32" xfId="0" applyNumberFormat="1" applyFont="1" applyFill="1" applyBorder="1" applyAlignment="1">
      <alignment vertical="center"/>
    </xf>
    <xf numFmtId="0" fontId="5" fillId="2" borderId="33" xfId="0" applyNumberFormat="1" applyFont="1" applyFill="1" applyBorder="1" applyAlignment="1">
      <alignment vertical="center"/>
    </xf>
    <xf numFmtId="0" fontId="5" fillId="2" borderId="28" xfId="0" applyNumberFormat="1" applyFont="1" applyFill="1" applyBorder="1" applyAlignment="1">
      <alignment vertical="center"/>
    </xf>
    <xf numFmtId="164" fontId="5" fillId="2" borderId="15" xfId="0" applyFont="1" applyFill="1" applyBorder="1" applyAlignment="1">
      <alignment vertical="center"/>
    </xf>
    <xf numFmtId="164" fontId="5" fillId="2" borderId="17" xfId="0" applyFont="1" applyFill="1" applyBorder="1" applyAlignment="1">
      <alignment vertical="center"/>
    </xf>
    <xf numFmtId="164" fontId="5" fillId="2" borderId="21" xfId="0" applyFont="1" applyFill="1" applyBorder="1" applyAlignment="1">
      <alignment vertical="center"/>
    </xf>
    <xf numFmtId="0" fontId="7" fillId="0" borderId="5" xfId="0" applyNumberFormat="1" applyFont="1" applyBorder="1" applyAlignment="1">
      <alignment vertical="center"/>
    </xf>
    <xf numFmtId="0" fontId="7" fillId="0" borderId="6" xfId="0" applyNumberFormat="1" applyFont="1" applyBorder="1" applyAlignment="1">
      <alignment vertical="center"/>
    </xf>
    <xf numFmtId="0" fontId="7" fillId="10" borderId="14" xfId="0" applyNumberFormat="1" applyFont="1" applyFill="1" applyBorder="1" applyAlignment="1">
      <alignment vertical="center"/>
    </xf>
    <xf numFmtId="164" fontId="14" fillId="10" borderId="15" xfId="0" applyFont="1" applyFill="1" applyBorder="1" applyAlignment="1">
      <alignment vertical="center"/>
    </xf>
    <xf numFmtId="0" fontId="7" fillId="10" borderId="15" xfId="0" applyNumberFormat="1" applyFont="1" applyFill="1" applyBorder="1" applyAlignment="1">
      <alignment vertical="center"/>
    </xf>
    <xf numFmtId="0" fontId="7" fillId="10" borderId="17" xfId="0" applyNumberFormat="1" applyFont="1" applyFill="1" applyBorder="1" applyAlignment="1">
      <alignment vertical="center"/>
    </xf>
    <xf numFmtId="0" fontId="7" fillId="10" borderId="21" xfId="0" applyNumberFormat="1" applyFont="1" applyFill="1" applyBorder="1" applyAlignment="1">
      <alignment vertical="center"/>
    </xf>
    <xf numFmtId="164" fontId="7" fillId="10" borderId="17" xfId="0" applyFont="1" applyFill="1" applyBorder="1" applyAlignment="1">
      <alignment vertical="center"/>
    </xf>
    <xf numFmtId="9" fontId="7" fillId="10" borderId="21" xfId="0" applyNumberFormat="1" applyFont="1" applyFill="1" applyBorder="1" applyAlignment="1">
      <alignment vertical="center"/>
    </xf>
    <xf numFmtId="0" fontId="7" fillId="0" borderId="26" xfId="0" applyNumberFormat="1" applyFont="1" applyBorder="1" applyAlignment="1">
      <alignment vertical="center"/>
    </xf>
    <xf numFmtId="0" fontId="5" fillId="2" borderId="23" xfId="0" applyNumberFormat="1" applyFont="1" applyFill="1" applyBorder="1" applyAlignment="1">
      <alignment vertical="center"/>
    </xf>
    <xf numFmtId="0" fontId="5" fillId="2" borderId="24" xfId="0" applyNumberFormat="1" applyFont="1" applyFill="1" applyBorder="1" applyAlignment="1">
      <alignment vertical="center"/>
    </xf>
    <xf numFmtId="0" fontId="5" fillId="2" borderId="25" xfId="0" applyNumberFormat="1" applyFont="1" applyFill="1" applyBorder="1" applyAlignment="1">
      <alignment vertical="center"/>
    </xf>
    <xf numFmtId="164" fontId="7" fillId="0" borderId="9" xfId="0" applyFont="1" applyBorder="1" applyAlignment="1">
      <alignment vertical="center"/>
    </xf>
    <xf numFmtId="164" fontId="7" fillId="0" borderId="6" xfId="0" applyFont="1" applyBorder="1" applyAlignment="1">
      <alignment horizontal="right" vertical="center"/>
    </xf>
    <xf numFmtId="164" fontId="7" fillId="0" borderId="8" xfId="0" applyFont="1" applyBorder="1" applyAlignment="1">
      <alignment horizontal="right" vertical="center"/>
    </xf>
    <xf numFmtId="164" fontId="12" fillId="0" borderId="8" xfId="0" applyFont="1" applyBorder="1" applyAlignment="1">
      <alignment vertical="center"/>
    </xf>
    <xf numFmtId="164" fontId="7" fillId="0" borderId="11" xfId="0" applyFont="1" applyBorder="1" applyAlignment="1">
      <alignment vertical="center"/>
    </xf>
    <xf numFmtId="164" fontId="5" fillId="2" borderId="30" xfId="0" applyFont="1" applyFill="1" applyBorder="1" applyAlignment="1">
      <alignment horizontal="right" vertical="center"/>
    </xf>
    <xf numFmtId="0" fontId="5" fillId="2" borderId="22" xfId="0" applyNumberFormat="1" applyFont="1" applyFill="1" applyBorder="1" applyAlignment="1">
      <alignment vertical="center"/>
    </xf>
    <xf numFmtId="0" fontId="5" fillId="2" borderId="29" xfId="0" applyNumberFormat="1" applyFont="1" applyFill="1" applyBorder="1" applyAlignment="1">
      <alignment vertical="center"/>
    </xf>
    <xf numFmtId="0" fontId="5" fillId="2" borderId="30" xfId="0" applyNumberFormat="1" applyFont="1" applyFill="1" applyBorder="1" applyAlignment="1">
      <alignment vertical="center"/>
    </xf>
    <xf numFmtId="0" fontId="13" fillId="0" borderId="10" xfId="0" applyNumberFormat="1" applyFont="1" applyBorder="1" applyAlignment="1">
      <alignment vertical="center"/>
    </xf>
    <xf numFmtId="164" fontId="13" fillId="0" borderId="8" xfId="0" applyFont="1" applyBorder="1" applyAlignment="1">
      <alignment vertical="center"/>
    </xf>
    <xf numFmtId="9" fontId="13" fillId="0" borderId="8" xfId="0" applyNumberFormat="1" applyFont="1" applyBorder="1" applyAlignment="1">
      <alignment vertical="center"/>
    </xf>
    <xf numFmtId="0" fontId="7" fillId="5" borderId="31" xfId="0" applyNumberFormat="1" applyFont="1" applyFill="1" applyBorder="1" applyAlignment="1">
      <alignment vertical="center"/>
    </xf>
    <xf numFmtId="0" fontId="7" fillId="5" borderId="15" xfId="0" applyNumberFormat="1" applyFont="1" applyFill="1" applyBorder="1" applyAlignment="1">
      <alignment vertical="center"/>
    </xf>
    <xf numFmtId="0" fontId="7" fillId="5" borderId="17" xfId="0" applyNumberFormat="1" applyFont="1" applyFill="1" applyBorder="1" applyAlignment="1">
      <alignment vertical="center"/>
    </xf>
    <xf numFmtId="0" fontId="7" fillId="5" borderId="21" xfId="0" applyNumberFormat="1" applyFont="1" applyFill="1" applyBorder="1" applyAlignment="1">
      <alignment vertical="center"/>
    </xf>
    <xf numFmtId="9" fontId="7" fillId="5" borderId="21" xfId="0" applyNumberFormat="1" applyFont="1" applyFill="1" applyBorder="1" applyAlignment="1">
      <alignment vertical="center"/>
    </xf>
    <xf numFmtId="164" fontId="7" fillId="5" borderId="17" xfId="0" applyFont="1" applyFill="1" applyBorder="1" applyAlignment="1">
      <alignment vertical="center"/>
    </xf>
    <xf numFmtId="164" fontId="7" fillId="5" borderId="21" xfId="0" applyFont="1" applyFill="1" applyBorder="1" applyAlignment="1">
      <alignment vertical="center"/>
    </xf>
    <xf numFmtId="0" fontId="7" fillId="5" borderId="23" xfId="0" applyNumberFormat="1" applyFont="1" applyFill="1" applyBorder="1" applyAlignment="1">
      <alignment vertical="center"/>
    </xf>
    <xf numFmtId="0" fontId="5" fillId="5" borderId="27" xfId="0" applyNumberFormat="1" applyFont="1" applyFill="1" applyBorder="1" applyAlignment="1">
      <alignment vertical="center"/>
    </xf>
    <xf numFmtId="0" fontId="5" fillId="5" borderId="28" xfId="0" applyNumberFormat="1" applyFont="1" applyFill="1" applyBorder="1" applyAlignment="1">
      <alignment vertical="center"/>
    </xf>
    <xf numFmtId="0" fontId="5" fillId="5" borderId="29" xfId="0" applyNumberFormat="1" applyFont="1" applyFill="1" applyBorder="1" applyAlignment="1">
      <alignment vertical="center"/>
    </xf>
    <xf numFmtId="0" fontId="5" fillId="5" borderId="30" xfId="0" applyNumberFormat="1" applyFont="1" applyFill="1" applyBorder="1" applyAlignment="1">
      <alignment vertical="center"/>
    </xf>
    <xf numFmtId="9" fontId="5" fillId="5" borderId="30" xfId="0" applyNumberFormat="1" applyFont="1" applyFill="1" applyBorder="1" applyAlignment="1">
      <alignment vertical="center"/>
    </xf>
    <xf numFmtId="0" fontId="7" fillId="11" borderId="14" xfId="0" applyNumberFormat="1" applyFont="1" applyFill="1" applyBorder="1" applyAlignment="1">
      <alignment vertical="center"/>
    </xf>
    <xf numFmtId="0" fontId="7" fillId="11" borderId="15" xfId="0" applyNumberFormat="1" applyFont="1" applyFill="1" applyBorder="1" applyAlignment="1">
      <alignment vertical="center"/>
    </xf>
    <xf numFmtId="0" fontId="7" fillId="11" borderId="17" xfId="0" applyNumberFormat="1" applyFont="1" applyFill="1" applyBorder="1" applyAlignment="1">
      <alignment vertical="center"/>
    </xf>
    <xf numFmtId="0" fontId="7" fillId="11" borderId="21" xfId="0" applyNumberFormat="1" applyFont="1" applyFill="1" applyBorder="1" applyAlignment="1">
      <alignment vertical="center"/>
    </xf>
    <xf numFmtId="9" fontId="7" fillId="11" borderId="21" xfId="0" applyNumberFormat="1" applyFont="1" applyFill="1" applyBorder="1" applyAlignment="1">
      <alignment vertical="center"/>
    </xf>
    <xf numFmtId="164" fontId="7" fillId="11" borderId="17" xfId="0" applyFont="1" applyFill="1" applyBorder="1" applyAlignment="1">
      <alignment vertical="center"/>
    </xf>
    <xf numFmtId="164" fontId="7" fillId="11" borderId="21" xfId="0" applyFont="1" applyFill="1" applyBorder="1" applyAlignment="1">
      <alignment vertical="center"/>
    </xf>
    <xf numFmtId="164" fontId="7" fillId="11" borderId="14" xfId="0" applyFont="1" applyFill="1" applyBorder="1" applyAlignment="1">
      <alignment vertical="center"/>
    </xf>
    <xf numFmtId="164" fontId="7" fillId="11" borderId="15" xfId="0" applyFont="1" applyFill="1" applyBorder="1" applyAlignment="1">
      <alignment vertical="center"/>
    </xf>
    <xf numFmtId="0" fontId="5" fillId="2" borderId="13" xfId="0" applyNumberFormat="1" applyFont="1" applyFill="1" applyBorder="1" applyAlignment="1">
      <alignment vertical="center"/>
    </xf>
    <xf numFmtId="164" fontId="13" fillId="0" borderId="7" xfId="0" applyFont="1" applyBorder="1" applyAlignment="1">
      <alignment vertical="center"/>
    </xf>
    <xf numFmtId="164" fontId="5" fillId="2" borderId="30" xfId="0" applyFont="1" applyFill="1" applyBorder="1" applyAlignment="1">
      <alignment vertical="center"/>
    </xf>
    <xf numFmtId="0" fontId="7" fillId="12" borderId="14" xfId="0" applyNumberFormat="1" applyFont="1" applyFill="1" applyBorder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7" xfId="0" applyNumberFormat="1" applyFont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5" fillId="0" borderId="8" xfId="0" applyNumberFormat="1" applyFont="1" applyBorder="1" applyAlignment="1">
      <alignment vertical="center"/>
    </xf>
    <xf numFmtId="9" fontId="15" fillId="0" borderId="8" xfId="0" applyNumberFormat="1" applyFont="1" applyBorder="1" applyAlignment="1">
      <alignment vertical="center"/>
    </xf>
    <xf numFmtId="0" fontId="16" fillId="0" borderId="10" xfId="0" applyNumberFormat="1" applyFont="1" applyBorder="1" applyAlignment="1">
      <alignment vertical="center"/>
    </xf>
    <xf numFmtId="0" fontId="16" fillId="0" borderId="11" xfId="0" applyNumberFormat="1" applyFont="1" applyBorder="1" applyAlignment="1">
      <alignment vertical="center"/>
    </xf>
    <xf numFmtId="0" fontId="7" fillId="7" borderId="15" xfId="0" applyNumberFormat="1" applyFont="1" applyFill="1" applyBorder="1" applyAlignment="1">
      <alignment vertical="center"/>
    </xf>
    <xf numFmtId="0" fontId="7" fillId="7" borderId="17" xfId="0" applyNumberFormat="1" applyFont="1" applyFill="1" applyBorder="1" applyAlignment="1">
      <alignment vertical="center"/>
    </xf>
    <xf numFmtId="0" fontId="7" fillId="7" borderId="21" xfId="0" applyNumberFormat="1" applyFont="1" applyFill="1" applyBorder="1" applyAlignment="1">
      <alignment vertical="center"/>
    </xf>
    <xf numFmtId="9" fontId="7" fillId="7" borderId="21" xfId="0" applyNumberFormat="1" applyFont="1" applyFill="1" applyBorder="1" applyAlignment="1">
      <alignment vertical="center"/>
    </xf>
    <xf numFmtId="164" fontId="12" fillId="0" borderId="7" xfId="0" applyFont="1" applyBorder="1" applyAlignment="1">
      <alignment vertical="center"/>
    </xf>
    <xf numFmtId="164" fontId="7" fillId="10" borderId="14" xfId="0" applyFont="1" applyFill="1" applyBorder="1" applyAlignment="1">
      <alignment vertical="center"/>
    </xf>
    <xf numFmtId="164" fontId="7" fillId="10" borderId="14" xfId="0" applyFont="1" applyFill="1" applyBorder="1" applyAlignment="1">
      <alignment horizontal="right" vertical="center"/>
    </xf>
    <xf numFmtId="164" fontId="7" fillId="10" borderId="17" xfId="0" applyFont="1" applyFill="1" applyBorder="1" applyAlignment="1">
      <alignment horizontal="right" vertical="center"/>
    </xf>
    <xf numFmtId="164" fontId="7" fillId="10" borderId="15" xfId="0" applyFont="1" applyFill="1" applyBorder="1" applyAlignment="1">
      <alignment horizontal="right" vertical="center"/>
    </xf>
    <xf numFmtId="9" fontId="7" fillId="10" borderId="21" xfId="0" applyNumberFormat="1" applyFont="1" applyFill="1" applyBorder="1" applyAlignment="1">
      <alignment horizontal="right" vertical="center"/>
    </xf>
    <xf numFmtId="164" fontId="5" fillId="0" borderId="0" xfId="0" applyFont="1" applyAlignment="1">
      <alignment vertical="center"/>
    </xf>
    <xf numFmtId="164" fontId="5" fillId="0" borderId="0" xfId="0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164" fontId="5" fillId="2" borderId="22" xfId="0" applyFont="1" applyFill="1" applyBorder="1" applyAlignment="1">
      <alignment vertical="center"/>
    </xf>
    <xf numFmtId="164" fontId="1" fillId="0" borderId="8" xfId="0" applyFont="1" applyBorder="1" applyAlignment="1">
      <alignment vertical="center"/>
    </xf>
    <xf numFmtId="164" fontId="17" fillId="2" borderId="27" xfId="0" applyFont="1" applyFill="1" applyBorder="1" applyAlignment="1">
      <alignment horizontal="right" vertical="center"/>
    </xf>
    <xf numFmtId="164" fontId="1" fillId="0" borderId="0" xfId="0" applyFont="1" applyAlignment="1">
      <alignment horizontal="center" vertical="center"/>
    </xf>
    <xf numFmtId="164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8" fillId="13" borderId="13" xfId="0" applyNumberFormat="1" applyFont="1" applyFill="1" applyBorder="1" applyAlignment="1">
      <alignment vertical="center"/>
    </xf>
    <xf numFmtId="9" fontId="7" fillId="0" borderId="6" xfId="0" applyNumberFormat="1" applyFont="1" applyBorder="1" applyAlignment="1">
      <alignment vertical="center"/>
    </xf>
    <xf numFmtId="0" fontId="16" fillId="13" borderId="14" xfId="0" applyNumberFormat="1" applyFont="1" applyFill="1" applyBorder="1" applyAlignment="1">
      <alignment vertical="center"/>
    </xf>
    <xf numFmtId="0" fontId="16" fillId="13" borderId="22" xfId="0" applyNumberFormat="1" applyFont="1" applyFill="1" applyBorder="1" applyAlignment="1">
      <alignment vertical="center"/>
    </xf>
    <xf numFmtId="0" fontId="7" fillId="13" borderId="13" xfId="0" applyNumberFormat="1" applyFont="1" applyFill="1" applyBorder="1" applyAlignment="1">
      <alignment vertical="center"/>
    </xf>
    <xf numFmtId="164" fontId="19" fillId="0" borderId="0" xfId="0" applyFont="1" applyAlignment="1">
      <alignment vertical="center"/>
    </xf>
    <xf numFmtId="164" fontId="19" fillId="0" borderId="8" xfId="0" applyFont="1" applyBorder="1" applyAlignment="1">
      <alignment vertical="center"/>
    </xf>
    <xf numFmtId="164" fontId="7" fillId="0" borderId="26" xfId="0" applyFont="1" applyBorder="1" applyAlignment="1">
      <alignment horizontal="right" vertical="center"/>
    </xf>
    <xf numFmtId="164" fontId="7" fillId="0" borderId="16" xfId="0" applyFont="1" applyBorder="1" applyAlignment="1">
      <alignment horizontal="right" vertical="center"/>
    </xf>
    <xf numFmtId="0" fontId="7" fillId="14" borderId="13" xfId="0" applyNumberFormat="1" applyFont="1" applyFill="1" applyBorder="1" applyAlignment="1">
      <alignment vertical="center"/>
    </xf>
    <xf numFmtId="0" fontId="7" fillId="14" borderId="14" xfId="0" applyNumberFormat="1" applyFont="1" applyFill="1" applyBorder="1" applyAlignment="1">
      <alignment vertical="center"/>
    </xf>
    <xf numFmtId="0" fontId="7" fillId="15" borderId="13" xfId="0" applyNumberFormat="1" applyFont="1" applyFill="1" applyBorder="1" applyAlignment="1">
      <alignment vertical="center"/>
    </xf>
    <xf numFmtId="0" fontId="7" fillId="15" borderId="31" xfId="0" applyNumberFormat="1" applyFont="1" applyFill="1" applyBorder="1" applyAlignment="1">
      <alignment vertical="center"/>
    </xf>
    <xf numFmtId="0" fontId="7" fillId="15" borderId="32" xfId="0" applyNumberFormat="1" applyFont="1" applyFill="1" applyBorder="1" applyAlignment="1">
      <alignment vertical="center"/>
    </xf>
    <xf numFmtId="0" fontId="7" fillId="15" borderId="33" xfId="0" applyNumberFormat="1" applyFont="1" applyFill="1" applyBorder="1" applyAlignment="1">
      <alignment vertical="center"/>
    </xf>
    <xf numFmtId="9" fontId="7" fillId="15" borderId="33" xfId="0" applyNumberFormat="1" applyFont="1" applyFill="1" applyBorder="1" applyAlignment="1">
      <alignment vertical="center"/>
    </xf>
    <xf numFmtId="0" fontId="7" fillId="15" borderId="14" xfId="0" applyNumberFormat="1" applyFont="1" applyFill="1" applyBorder="1" applyAlignment="1">
      <alignment vertical="center"/>
    </xf>
    <xf numFmtId="0" fontId="7" fillId="15" borderId="15" xfId="0" applyNumberFormat="1" applyFont="1" applyFill="1" applyBorder="1" applyAlignment="1">
      <alignment vertical="center"/>
    </xf>
    <xf numFmtId="0" fontId="7" fillId="15" borderId="17" xfId="0" applyNumberFormat="1" applyFont="1" applyFill="1" applyBorder="1" applyAlignment="1">
      <alignment vertical="center"/>
    </xf>
    <xf numFmtId="0" fontId="7" fillId="15" borderId="21" xfId="0" applyNumberFormat="1" applyFont="1" applyFill="1" applyBorder="1" applyAlignment="1">
      <alignment vertical="center"/>
    </xf>
    <xf numFmtId="9" fontId="7" fillId="15" borderId="21" xfId="0" applyNumberFormat="1" applyFont="1" applyFill="1" applyBorder="1" applyAlignment="1">
      <alignment vertical="center"/>
    </xf>
    <xf numFmtId="164" fontId="7" fillId="15" borderId="17" xfId="0" applyFont="1" applyFill="1" applyBorder="1" applyAlignment="1">
      <alignment horizontal="right" vertical="center"/>
    </xf>
    <xf numFmtId="164" fontId="7" fillId="15" borderId="21" xfId="0" applyFont="1" applyFill="1" applyBorder="1" applyAlignment="1">
      <alignment horizontal="right" vertical="center"/>
    </xf>
    <xf numFmtId="0" fontId="5" fillId="4" borderId="27" xfId="0" applyNumberFormat="1" applyFont="1" applyFill="1" applyBorder="1" applyAlignment="1">
      <alignment vertical="center"/>
    </xf>
    <xf numFmtId="0" fontId="5" fillId="4" borderId="28" xfId="0" applyNumberFormat="1" applyFont="1" applyFill="1" applyBorder="1" applyAlignment="1">
      <alignment vertical="center"/>
    </xf>
    <xf numFmtId="0" fontId="5" fillId="4" borderId="29" xfId="0" applyNumberFormat="1" applyFont="1" applyFill="1" applyBorder="1" applyAlignment="1">
      <alignment vertical="center"/>
    </xf>
    <xf numFmtId="164" fontId="5" fillId="4" borderId="29" xfId="0" applyFont="1" applyFill="1" applyBorder="1" applyAlignment="1">
      <alignment vertical="center"/>
    </xf>
    <xf numFmtId="164" fontId="5" fillId="4" borderId="30" xfId="0" applyFont="1" applyFill="1" applyBorder="1" applyAlignment="1">
      <alignment vertical="center"/>
    </xf>
    <xf numFmtId="164" fontId="4" fillId="0" borderId="26" xfId="0" applyFont="1" applyBorder="1" applyAlignment="1">
      <alignment horizontal="center"/>
    </xf>
    <xf numFmtId="164" fontId="20" fillId="0" borderId="26" xfId="0" applyFont="1" applyBorder="1" applyAlignment="1">
      <alignment horizontal="center"/>
    </xf>
    <xf numFmtId="0" fontId="5" fillId="2" borderId="27" xfId="0" applyNumberFormat="1" applyFont="1" applyFill="1" applyBorder="1" applyAlignment="1">
      <alignment horizontal="center" vertical="center"/>
    </xf>
    <xf numFmtId="164" fontId="5" fillId="2" borderId="27" xfId="0" applyFont="1" applyFill="1" applyBorder="1" applyAlignment="1">
      <alignment horizontal="center" vertical="center"/>
    </xf>
    <xf numFmtId="0" fontId="21" fillId="0" borderId="0" xfId="0" applyNumberFormat="1" applyFont="1" applyAlignment="1">
      <alignment vertical="center"/>
    </xf>
    <xf numFmtId="0" fontId="7" fillId="13" borderId="14" xfId="0" applyNumberFormat="1" applyFont="1" applyFill="1" applyBorder="1" applyAlignment="1">
      <alignment vertical="center"/>
    </xf>
    <xf numFmtId="0" fontId="7" fillId="13" borderId="22" xfId="0" applyNumberFormat="1" applyFont="1" applyFill="1" applyBorder="1" applyAlignment="1">
      <alignment vertical="center"/>
    </xf>
    <xf numFmtId="0" fontId="7" fillId="5" borderId="32" xfId="0" applyNumberFormat="1" applyFont="1" applyFill="1" applyBorder="1" applyAlignment="1">
      <alignment vertical="center"/>
    </xf>
    <xf numFmtId="0" fontId="7" fillId="5" borderId="33" xfId="0" applyNumberFormat="1" applyFont="1" applyFill="1" applyBorder="1" applyAlignment="1">
      <alignment vertical="center"/>
    </xf>
    <xf numFmtId="9" fontId="7" fillId="5" borderId="33" xfId="0" applyNumberFormat="1" applyFont="1" applyFill="1" applyBorder="1" applyAlignment="1">
      <alignment vertical="center"/>
    </xf>
    <xf numFmtId="164" fontId="7" fillId="5" borderId="17" xfId="0" applyFont="1" applyFill="1" applyBorder="1" applyAlignment="1">
      <alignment horizontal="right" vertical="center"/>
    </xf>
    <xf numFmtId="164" fontId="7" fillId="5" borderId="21" xfId="0" applyFont="1" applyFill="1" applyBorder="1" applyAlignment="1">
      <alignment horizontal="right" vertical="center"/>
    </xf>
    <xf numFmtId="164" fontId="19" fillId="5" borderId="17" xfId="0" applyFont="1" applyFill="1" applyBorder="1" applyAlignment="1">
      <alignment vertical="center"/>
    </xf>
    <xf numFmtId="164" fontId="19" fillId="5" borderId="21" xfId="0" applyFont="1" applyFill="1" applyBorder="1" applyAlignment="1">
      <alignment vertical="center"/>
    </xf>
    <xf numFmtId="0" fontId="7" fillId="5" borderId="22" xfId="0" applyNumberFormat="1" applyFont="1" applyFill="1" applyBorder="1" applyAlignment="1">
      <alignment vertical="center"/>
    </xf>
    <xf numFmtId="0" fontId="7" fillId="5" borderId="14" xfId="0" applyNumberFormat="1" applyFont="1" applyFill="1" applyBorder="1" applyAlignment="1">
      <alignment horizontal="left" vertical="center"/>
    </xf>
    <xf numFmtId="164" fontId="7" fillId="5" borderId="34" xfId="0" applyFont="1" applyFill="1" applyBorder="1" applyAlignment="1">
      <alignment horizontal="right" vertical="center"/>
    </xf>
    <xf numFmtId="164" fontId="7" fillId="5" borderId="35" xfId="0" applyFont="1" applyFill="1" applyBorder="1" applyAlignment="1">
      <alignment horizontal="right" vertical="center"/>
    </xf>
    <xf numFmtId="0" fontId="7" fillId="5" borderId="36" xfId="0" applyNumberFormat="1" applyFont="1" applyFill="1" applyBorder="1" applyAlignment="1">
      <alignment vertical="center"/>
    </xf>
    <xf numFmtId="0" fontId="7" fillId="5" borderId="34" xfId="0" applyNumberFormat="1" applyFont="1" applyFill="1" applyBorder="1" applyAlignment="1">
      <alignment vertical="center"/>
    </xf>
    <xf numFmtId="9" fontId="7" fillId="5" borderId="35" xfId="0" applyNumberFormat="1" applyFont="1" applyFill="1" applyBorder="1" applyAlignment="1">
      <alignment vertical="center"/>
    </xf>
    <xf numFmtId="164" fontId="7" fillId="5" borderId="14" xfId="0" applyFont="1" applyFill="1" applyBorder="1" applyAlignment="1">
      <alignment horizontal="left" vertical="center"/>
    </xf>
    <xf numFmtId="164" fontId="7" fillId="5" borderId="15" xfId="0" applyFont="1" applyFill="1" applyBorder="1" applyAlignment="1">
      <alignment vertical="center"/>
    </xf>
    <xf numFmtId="164" fontId="7" fillId="5" borderId="24" xfId="0" applyFont="1" applyFill="1" applyBorder="1" applyAlignment="1">
      <alignment horizontal="right" vertical="center"/>
    </xf>
    <xf numFmtId="164" fontId="7" fillId="5" borderId="25" xfId="0" applyFont="1" applyFill="1" applyBorder="1" applyAlignment="1">
      <alignment horizontal="right" vertical="center"/>
    </xf>
    <xf numFmtId="164" fontId="5" fillId="5" borderId="27" xfId="0" applyFont="1" applyFill="1" applyBorder="1" applyAlignment="1">
      <alignment vertical="center"/>
    </xf>
    <xf numFmtId="164" fontId="5" fillId="5" borderId="28" xfId="0" applyFont="1" applyFill="1" applyBorder="1" applyAlignment="1">
      <alignment vertical="center"/>
    </xf>
    <xf numFmtId="164" fontId="5" fillId="5" borderId="29" xfId="0" applyFont="1" applyFill="1" applyBorder="1" applyAlignment="1">
      <alignment vertical="center"/>
    </xf>
    <xf numFmtId="164" fontId="5" fillId="5" borderId="30" xfId="0" applyFont="1" applyFill="1" applyBorder="1" applyAlignment="1">
      <alignment vertical="center"/>
    </xf>
    <xf numFmtId="0" fontId="7" fillId="5" borderId="9" xfId="0" applyNumberFormat="1" applyFont="1" applyFill="1" applyBorder="1" applyAlignment="1">
      <alignment vertical="center"/>
    </xf>
    <xf numFmtId="0" fontId="7" fillId="5" borderId="4" xfId="0" applyNumberFormat="1" applyFont="1" applyFill="1" applyBorder="1" applyAlignment="1">
      <alignment vertical="center"/>
    </xf>
    <xf numFmtId="0" fontId="7" fillId="5" borderId="5" xfId="0" applyNumberFormat="1" applyFont="1" applyFill="1" applyBorder="1" applyAlignment="1">
      <alignment vertical="center"/>
    </xf>
    <xf numFmtId="0" fontId="7" fillId="5" borderId="6" xfId="0" applyNumberFormat="1" applyFont="1" applyFill="1" applyBorder="1" applyAlignment="1">
      <alignment vertical="center"/>
    </xf>
    <xf numFmtId="9" fontId="7" fillId="5" borderId="6" xfId="0" applyNumberFormat="1" applyFont="1" applyFill="1" applyBorder="1" applyAlignment="1">
      <alignment vertical="center"/>
    </xf>
    <xf numFmtId="0" fontId="7" fillId="5" borderId="10" xfId="0" applyNumberFormat="1" applyFont="1" applyFill="1" applyBorder="1" applyAlignment="1">
      <alignment vertical="center"/>
    </xf>
    <xf numFmtId="0" fontId="7" fillId="5" borderId="7" xfId="0" applyNumberFormat="1" applyFont="1" applyFill="1" applyBorder="1" applyAlignment="1">
      <alignment vertical="center"/>
    </xf>
    <xf numFmtId="0" fontId="7" fillId="5" borderId="0" xfId="0" applyNumberFormat="1" applyFont="1" applyFill="1" applyAlignment="1">
      <alignment vertical="center"/>
    </xf>
    <xf numFmtId="0" fontId="7" fillId="5" borderId="8" xfId="0" applyNumberFormat="1" applyFont="1" applyFill="1" applyBorder="1" applyAlignment="1">
      <alignment vertical="center"/>
    </xf>
    <xf numFmtId="9" fontId="7" fillId="5" borderId="8" xfId="0" applyNumberFormat="1" applyFont="1" applyFill="1" applyBorder="1" applyAlignment="1">
      <alignment vertical="center"/>
    </xf>
    <xf numFmtId="164" fontId="19" fillId="5" borderId="0" xfId="0" applyFont="1" applyFill="1" applyAlignment="1">
      <alignment vertical="center"/>
    </xf>
    <xf numFmtId="164" fontId="19" fillId="5" borderId="8" xfId="0" applyFont="1" applyFill="1" applyBorder="1" applyAlignment="1">
      <alignment vertical="center"/>
    </xf>
    <xf numFmtId="0" fontId="7" fillId="5" borderId="11" xfId="0" applyNumberFormat="1" applyFont="1" applyFill="1" applyBorder="1" applyAlignment="1">
      <alignment vertical="center"/>
    </xf>
    <xf numFmtId="0" fontId="7" fillId="11" borderId="13" xfId="0" applyNumberFormat="1" applyFont="1" applyFill="1" applyBorder="1" applyAlignment="1">
      <alignment vertical="center"/>
    </xf>
    <xf numFmtId="0" fontId="7" fillId="11" borderId="31" xfId="0" applyNumberFormat="1" applyFont="1" applyFill="1" applyBorder="1" applyAlignment="1">
      <alignment vertical="center"/>
    </xf>
    <xf numFmtId="0" fontId="7" fillId="11" borderId="32" xfId="0" applyNumberFormat="1" applyFont="1" applyFill="1" applyBorder="1" applyAlignment="1">
      <alignment vertical="center"/>
    </xf>
    <xf numFmtId="0" fontId="7" fillId="11" borderId="33" xfId="0" applyNumberFormat="1" applyFont="1" applyFill="1" applyBorder="1" applyAlignment="1">
      <alignment vertical="center"/>
    </xf>
    <xf numFmtId="9" fontId="7" fillId="11" borderId="33" xfId="0" applyNumberFormat="1" applyFont="1" applyFill="1" applyBorder="1" applyAlignment="1">
      <alignment vertical="center"/>
    </xf>
    <xf numFmtId="164" fontId="7" fillId="11" borderId="17" xfId="0" applyFont="1" applyFill="1" applyBorder="1" applyAlignment="1">
      <alignment horizontal="right" vertical="center"/>
    </xf>
    <xf numFmtId="164" fontId="7" fillId="11" borderId="21" xfId="0" applyFont="1" applyFill="1" applyBorder="1" applyAlignment="1">
      <alignment horizontal="right" vertical="center"/>
    </xf>
    <xf numFmtId="0" fontId="7" fillId="11" borderId="22" xfId="0" applyNumberFormat="1" applyFont="1" applyFill="1" applyBorder="1" applyAlignment="1">
      <alignment vertical="center"/>
    </xf>
    <xf numFmtId="0" fontId="5" fillId="11" borderId="27" xfId="0" applyNumberFormat="1" applyFont="1" applyFill="1" applyBorder="1" applyAlignment="1">
      <alignment vertical="center"/>
    </xf>
    <xf numFmtId="0" fontId="5" fillId="11" borderId="28" xfId="0" applyNumberFormat="1" applyFont="1" applyFill="1" applyBorder="1" applyAlignment="1">
      <alignment vertical="center"/>
    </xf>
    <xf numFmtId="0" fontId="5" fillId="11" borderId="29" xfId="0" applyNumberFormat="1" applyFont="1" applyFill="1" applyBorder="1" applyAlignment="1">
      <alignment vertical="center"/>
    </xf>
    <xf numFmtId="0" fontId="5" fillId="11" borderId="30" xfId="0" applyNumberFormat="1" applyFont="1" applyFill="1" applyBorder="1" applyAlignment="1">
      <alignment vertical="center"/>
    </xf>
    <xf numFmtId="9" fontId="5" fillId="11" borderId="30" xfId="0" applyNumberFormat="1" applyFont="1" applyFill="1" applyBorder="1" applyAlignment="1">
      <alignment vertical="center"/>
    </xf>
    <xf numFmtId="0" fontId="5" fillId="0" borderId="27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9" fontId="5" fillId="0" borderId="3" xfId="0" applyNumberFormat="1" applyFont="1" applyBorder="1" applyAlignment="1">
      <alignment vertical="center"/>
    </xf>
    <xf numFmtId="164" fontId="7" fillId="5" borderId="32" xfId="0" applyFont="1" applyFill="1" applyBorder="1" applyAlignment="1">
      <alignment horizontal="right" vertical="center"/>
    </xf>
    <xf numFmtId="164" fontId="7" fillId="5" borderId="33" xfId="0" applyFont="1" applyFill="1" applyBorder="1" applyAlignment="1">
      <alignment horizontal="right" vertical="center"/>
    </xf>
    <xf numFmtId="164" fontId="19" fillId="0" borderId="10" xfId="0" applyFont="1" applyBorder="1" applyAlignment="1">
      <alignment vertical="center"/>
    </xf>
    <xf numFmtId="164" fontId="19" fillId="0" borderId="0" xfId="0" applyFont="1" applyAlignment="1">
      <alignment horizontal="right" vertical="center"/>
    </xf>
    <xf numFmtId="164" fontId="19" fillId="0" borderId="8" xfId="0" applyFont="1" applyBorder="1" applyAlignment="1">
      <alignment horizontal="right" vertical="center"/>
    </xf>
    <xf numFmtId="164" fontId="7" fillId="0" borderId="12" xfId="0" applyFont="1" applyBorder="1" applyAlignment="1">
      <alignment horizontal="right" vertical="center"/>
    </xf>
    <xf numFmtId="164" fontId="19" fillId="0" borderId="7" xfId="0" applyFont="1" applyBorder="1" applyAlignment="1">
      <alignment vertical="center"/>
    </xf>
    <xf numFmtId="0" fontId="22" fillId="0" borderId="10" xfId="0" applyNumberFormat="1" applyFont="1" applyBorder="1" applyAlignment="1">
      <alignment vertical="center"/>
    </xf>
    <xf numFmtId="0" fontId="7" fillId="13" borderId="31" xfId="0" applyNumberFormat="1" applyFont="1" applyFill="1" applyBorder="1" applyAlignment="1">
      <alignment vertical="center"/>
    </xf>
    <xf numFmtId="0" fontId="7" fillId="13" borderId="32" xfId="0" applyNumberFormat="1" applyFont="1" applyFill="1" applyBorder="1" applyAlignment="1">
      <alignment vertical="center"/>
    </xf>
    <xf numFmtId="0" fontId="7" fillId="13" borderId="33" xfId="0" applyNumberFormat="1" applyFont="1" applyFill="1" applyBorder="1" applyAlignment="1">
      <alignment vertical="center"/>
    </xf>
    <xf numFmtId="9" fontId="7" fillId="13" borderId="33" xfId="0" applyNumberFormat="1" applyFont="1" applyFill="1" applyBorder="1" applyAlignment="1">
      <alignment vertical="center"/>
    </xf>
    <xf numFmtId="0" fontId="7" fillId="13" borderId="15" xfId="0" applyNumberFormat="1" applyFont="1" applyFill="1" applyBorder="1" applyAlignment="1">
      <alignment vertical="center"/>
    </xf>
    <xf numFmtId="0" fontId="7" fillId="13" borderId="17" xfId="0" applyNumberFormat="1" applyFont="1" applyFill="1" applyBorder="1" applyAlignment="1">
      <alignment vertical="center"/>
    </xf>
    <xf numFmtId="0" fontId="7" fillId="13" borderId="21" xfId="0" applyNumberFormat="1" applyFont="1" applyFill="1" applyBorder="1" applyAlignment="1">
      <alignment vertical="center"/>
    </xf>
    <xf numFmtId="9" fontId="7" fillId="13" borderId="21" xfId="0" applyNumberFormat="1" applyFont="1" applyFill="1" applyBorder="1" applyAlignment="1">
      <alignment vertical="center"/>
    </xf>
    <xf numFmtId="164" fontId="7" fillId="13" borderId="15" xfId="0" applyFont="1" applyFill="1" applyBorder="1" applyAlignment="1">
      <alignment horizontal="right" vertical="center"/>
    </xf>
    <xf numFmtId="164" fontId="7" fillId="13" borderId="17" xfId="0" applyFont="1" applyFill="1" applyBorder="1" applyAlignment="1">
      <alignment horizontal="right" vertical="center"/>
    </xf>
    <xf numFmtId="164" fontId="7" fillId="13" borderId="15" xfId="0" applyFont="1" applyFill="1" applyBorder="1" applyAlignment="1">
      <alignment vertical="center"/>
    </xf>
    <xf numFmtId="164" fontId="7" fillId="13" borderId="17" xfId="0" applyFont="1" applyFill="1" applyBorder="1" applyAlignment="1">
      <alignment vertical="center"/>
    </xf>
    <xf numFmtId="0" fontId="5" fillId="4" borderId="30" xfId="0" applyNumberFormat="1" applyFont="1" applyFill="1" applyBorder="1" applyAlignment="1">
      <alignment vertical="center"/>
    </xf>
    <xf numFmtId="9" fontId="5" fillId="4" borderId="30" xfId="0" applyNumberFormat="1" applyFont="1" applyFill="1" applyBorder="1" applyAlignment="1">
      <alignment vertical="center"/>
    </xf>
    <xf numFmtId="164" fontId="7" fillId="13" borderId="21" xfId="0" applyFont="1" applyFill="1" applyBorder="1" applyAlignment="1">
      <alignment horizontal="right" vertical="center"/>
    </xf>
    <xf numFmtId="164" fontId="19" fillId="13" borderId="17" xfId="0" applyFont="1" applyFill="1" applyBorder="1" applyAlignment="1">
      <alignment vertical="center"/>
    </xf>
    <xf numFmtId="164" fontId="19" fillId="13" borderId="21" xfId="0" applyFont="1" applyFill="1" applyBorder="1" applyAlignment="1">
      <alignment vertical="center"/>
    </xf>
    <xf numFmtId="0" fontId="7" fillId="13" borderId="37" xfId="0" applyNumberFormat="1" applyFont="1" applyFill="1" applyBorder="1" applyAlignment="1">
      <alignment vertical="center"/>
    </xf>
    <xf numFmtId="0" fontId="7" fillId="13" borderId="38" xfId="0" applyNumberFormat="1" applyFont="1" applyFill="1" applyBorder="1" applyAlignment="1">
      <alignment vertical="center"/>
    </xf>
    <xf numFmtId="0" fontId="7" fillId="13" borderId="39" xfId="0" applyNumberFormat="1" applyFont="1" applyFill="1" applyBorder="1" applyAlignment="1">
      <alignment vertical="center"/>
    </xf>
    <xf numFmtId="164" fontId="19" fillId="13" borderId="39" xfId="0" applyFont="1" applyFill="1" applyBorder="1" applyAlignment="1">
      <alignment vertical="center"/>
    </xf>
    <xf numFmtId="164" fontId="19" fillId="13" borderId="40" xfId="0" applyFont="1" applyFill="1" applyBorder="1" applyAlignment="1">
      <alignment vertical="center"/>
    </xf>
    <xf numFmtId="9" fontId="7" fillId="13" borderId="40" xfId="0" applyNumberFormat="1" applyFont="1" applyFill="1" applyBorder="1" applyAlignment="1">
      <alignment vertical="center"/>
    </xf>
    <xf numFmtId="0" fontId="7" fillId="13" borderId="41" xfId="0" applyNumberFormat="1" applyFont="1" applyFill="1" applyBorder="1" applyAlignment="1">
      <alignment vertical="center"/>
    </xf>
    <xf numFmtId="0" fontId="7" fillId="13" borderId="42" xfId="0" applyNumberFormat="1" applyFont="1" applyFill="1" applyBorder="1" applyAlignment="1">
      <alignment vertical="center"/>
    </xf>
    <xf numFmtId="0" fontId="7" fillId="13" borderId="43" xfId="0" applyNumberFormat="1" applyFont="1" applyFill="1" applyBorder="1" applyAlignment="1">
      <alignment vertical="center"/>
    </xf>
    <xf numFmtId="164" fontId="19" fillId="13" borderId="43" xfId="0" applyFont="1" applyFill="1" applyBorder="1" applyAlignment="1">
      <alignment vertical="center"/>
    </xf>
    <xf numFmtId="164" fontId="19" fillId="13" borderId="44" xfId="0" applyFont="1" applyFill="1" applyBorder="1" applyAlignment="1">
      <alignment vertical="center"/>
    </xf>
    <xf numFmtId="9" fontId="7" fillId="13" borderId="44" xfId="0" applyNumberFormat="1" applyFont="1" applyFill="1" applyBorder="1" applyAlignment="1">
      <alignment vertical="center"/>
    </xf>
    <xf numFmtId="164" fontId="7" fillId="13" borderId="14" xfId="0" applyFont="1" applyFill="1" applyBorder="1" applyAlignment="1">
      <alignment horizontal="left" vertical="center"/>
    </xf>
    <xf numFmtId="0" fontId="7" fillId="13" borderId="14" xfId="0" applyNumberFormat="1" applyFont="1" applyFill="1" applyBorder="1" applyAlignment="1">
      <alignment horizontal="right" vertical="center"/>
    </xf>
    <xf numFmtId="0" fontId="7" fillId="13" borderId="17" xfId="0" applyNumberFormat="1" applyFont="1" applyFill="1" applyBorder="1" applyAlignment="1">
      <alignment horizontal="right" vertical="center"/>
    </xf>
    <xf numFmtId="0" fontId="7" fillId="13" borderId="21" xfId="0" applyNumberFormat="1" applyFont="1" applyFill="1" applyBorder="1" applyAlignment="1">
      <alignment horizontal="right" vertical="center"/>
    </xf>
    <xf numFmtId="0" fontId="7" fillId="13" borderId="40" xfId="0" applyNumberFormat="1" applyFont="1" applyFill="1" applyBorder="1" applyAlignment="1">
      <alignment horizontal="right" vertical="center"/>
    </xf>
    <xf numFmtId="0" fontId="7" fillId="13" borderId="39" xfId="0" applyNumberFormat="1" applyFont="1" applyFill="1" applyBorder="1" applyAlignment="1">
      <alignment horizontal="right" vertical="center"/>
    </xf>
    <xf numFmtId="0" fontId="7" fillId="0" borderId="41" xfId="0" applyNumberFormat="1" applyFont="1" applyBorder="1" applyAlignment="1">
      <alignment vertical="center"/>
    </xf>
    <xf numFmtId="0" fontId="7" fillId="0" borderId="42" xfId="0" applyNumberFormat="1" applyFont="1" applyBorder="1" applyAlignment="1">
      <alignment vertical="center"/>
    </xf>
    <xf numFmtId="164" fontId="7" fillId="0" borderId="43" xfId="0" applyFont="1" applyBorder="1" applyAlignment="1">
      <alignment vertical="center"/>
    </xf>
    <xf numFmtId="0" fontId="7" fillId="0" borderId="43" xfId="0" applyNumberFormat="1" applyFont="1" applyBorder="1" applyAlignment="1">
      <alignment vertical="center"/>
    </xf>
    <xf numFmtId="0" fontId="7" fillId="0" borderId="44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0" fontId="7" fillId="0" borderId="15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vertical="center"/>
    </xf>
    <xf numFmtId="164" fontId="7" fillId="0" borderId="17" xfId="0" applyFont="1" applyBorder="1" applyAlignment="1">
      <alignment horizontal="right" vertical="center"/>
    </xf>
    <xf numFmtId="164" fontId="7" fillId="0" borderId="21" xfId="0" applyFont="1" applyBorder="1" applyAlignment="1">
      <alignment horizontal="right" vertical="center"/>
    </xf>
    <xf numFmtId="0" fontId="19" fillId="0" borderId="8" xfId="0" applyNumberFormat="1" applyFont="1" applyBorder="1" applyAlignment="1">
      <alignment vertical="center"/>
    </xf>
    <xf numFmtId="0" fontId="7" fillId="0" borderId="45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vertical="center"/>
    </xf>
    <xf numFmtId="9" fontId="7" fillId="0" borderId="21" xfId="0" applyNumberFormat="1" applyFont="1" applyBorder="1" applyAlignment="1">
      <alignment vertical="center"/>
    </xf>
    <xf numFmtId="164" fontId="19" fillId="0" borderId="17" xfId="0" applyFont="1" applyBorder="1" applyAlignment="1">
      <alignment vertical="center"/>
    </xf>
    <xf numFmtId="164" fontId="19" fillId="0" borderId="21" xfId="0" applyFont="1" applyBorder="1" applyAlignment="1">
      <alignment vertical="center"/>
    </xf>
    <xf numFmtId="0" fontId="7" fillId="0" borderId="22" xfId="0" applyNumberFormat="1" applyFont="1" applyBorder="1" applyAlignment="1">
      <alignment vertical="center"/>
    </xf>
    <xf numFmtId="0" fontId="7" fillId="8" borderId="13" xfId="0" applyNumberFormat="1" applyFont="1" applyFill="1" applyBorder="1" applyAlignment="1">
      <alignment vertical="center"/>
    </xf>
    <xf numFmtId="0" fontId="7" fillId="8" borderId="31" xfId="0" applyNumberFormat="1" applyFont="1" applyFill="1" applyBorder="1" applyAlignment="1">
      <alignment vertical="center"/>
    </xf>
    <xf numFmtId="0" fontId="7" fillId="8" borderId="32" xfId="0" applyNumberFormat="1" applyFont="1" applyFill="1" applyBorder="1" applyAlignment="1">
      <alignment vertical="center"/>
    </xf>
    <xf numFmtId="0" fontId="7" fillId="8" borderId="33" xfId="0" applyNumberFormat="1" applyFont="1" applyFill="1" applyBorder="1" applyAlignment="1">
      <alignment vertical="center"/>
    </xf>
    <xf numFmtId="0" fontId="7" fillId="8" borderId="17" xfId="0" applyNumberFormat="1" applyFont="1" applyFill="1" applyBorder="1" applyAlignment="1">
      <alignment vertical="center"/>
    </xf>
    <xf numFmtId="9" fontId="7" fillId="8" borderId="21" xfId="0" applyNumberFormat="1" applyFont="1" applyFill="1" applyBorder="1" applyAlignment="1">
      <alignment vertical="center"/>
    </xf>
    <xf numFmtId="0" fontId="7" fillId="8" borderId="14" xfId="0" applyNumberFormat="1" applyFont="1" applyFill="1" applyBorder="1" applyAlignment="1">
      <alignment vertical="center"/>
    </xf>
    <xf numFmtId="0" fontId="7" fillId="8" borderId="21" xfId="0" applyNumberFormat="1" applyFont="1" applyFill="1" applyBorder="1" applyAlignment="1">
      <alignment vertical="center"/>
    </xf>
    <xf numFmtId="0" fontId="7" fillId="8" borderId="22" xfId="0" applyNumberFormat="1" applyFont="1" applyFill="1" applyBorder="1" applyAlignment="1">
      <alignment vertical="center"/>
    </xf>
    <xf numFmtId="0" fontId="5" fillId="8" borderId="27" xfId="0" applyNumberFormat="1" applyFont="1" applyFill="1" applyBorder="1" applyAlignment="1">
      <alignment vertical="center"/>
    </xf>
    <xf numFmtId="0" fontId="5" fillId="8" borderId="28" xfId="0" applyNumberFormat="1" applyFont="1" applyFill="1" applyBorder="1" applyAlignment="1">
      <alignment vertical="center"/>
    </xf>
    <xf numFmtId="0" fontId="5" fillId="8" borderId="29" xfId="0" applyNumberFormat="1" applyFont="1" applyFill="1" applyBorder="1" applyAlignment="1">
      <alignment vertical="center"/>
    </xf>
    <xf numFmtId="0" fontId="5" fillId="8" borderId="30" xfId="0" applyNumberFormat="1" applyFont="1" applyFill="1" applyBorder="1" applyAlignment="1">
      <alignment vertical="center"/>
    </xf>
    <xf numFmtId="9" fontId="5" fillId="8" borderId="30" xfId="0" applyNumberFormat="1" applyFont="1" applyFill="1" applyBorder="1" applyAlignment="1">
      <alignment vertical="center"/>
    </xf>
    <xf numFmtId="0" fontId="7" fillId="0" borderId="7" xfId="0" applyNumberFormat="1" applyFont="1" applyBorder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7" fillId="4" borderId="4" xfId="0" applyNumberFormat="1" applyFont="1" applyFill="1" applyBorder="1" applyAlignment="1">
      <alignment horizontal="right" vertical="center"/>
    </xf>
    <xf numFmtId="0" fontId="7" fillId="4" borderId="5" xfId="0" applyNumberFormat="1" applyFont="1" applyFill="1" applyBorder="1" applyAlignment="1">
      <alignment vertical="center"/>
    </xf>
    <xf numFmtId="0" fontId="7" fillId="4" borderId="6" xfId="0" applyNumberFormat="1" applyFont="1" applyFill="1" applyBorder="1" applyAlignment="1">
      <alignment vertical="center"/>
    </xf>
    <xf numFmtId="0" fontId="7" fillId="4" borderId="4" xfId="0" applyNumberFormat="1" applyFont="1" applyFill="1" applyBorder="1" applyAlignment="1">
      <alignment vertical="center"/>
    </xf>
    <xf numFmtId="9" fontId="7" fillId="4" borderId="6" xfId="0" applyNumberFormat="1" applyFont="1" applyFill="1" applyBorder="1" applyAlignment="1">
      <alignment vertical="center"/>
    </xf>
    <xf numFmtId="0" fontId="7" fillId="4" borderId="10" xfId="0" applyNumberFormat="1" applyFont="1" applyFill="1" applyBorder="1" applyAlignment="1">
      <alignment vertical="center"/>
    </xf>
    <xf numFmtId="0" fontId="7" fillId="4" borderId="7" xfId="0" applyNumberFormat="1" applyFont="1" applyFill="1" applyBorder="1" applyAlignment="1">
      <alignment horizontal="right" vertical="center"/>
    </xf>
    <xf numFmtId="0" fontId="7" fillId="4" borderId="0" xfId="0" applyNumberFormat="1" applyFont="1" applyFill="1" applyAlignment="1">
      <alignment vertical="center"/>
    </xf>
    <xf numFmtId="0" fontId="7" fillId="4" borderId="8" xfId="0" applyNumberFormat="1" applyFont="1" applyFill="1" applyBorder="1" applyAlignment="1">
      <alignment vertical="center"/>
    </xf>
    <xf numFmtId="0" fontId="7" fillId="4" borderId="7" xfId="0" applyNumberFormat="1" applyFont="1" applyFill="1" applyBorder="1" applyAlignment="1">
      <alignment vertical="center"/>
    </xf>
    <xf numFmtId="9" fontId="7" fillId="4" borderId="8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horizontal="right" vertical="center"/>
    </xf>
    <xf numFmtId="164" fontId="23" fillId="0" borderId="0" xfId="0" applyFont="1" applyAlignment="1">
      <alignment vertical="center"/>
    </xf>
    <xf numFmtId="0" fontId="7" fillId="0" borderId="10" xfId="0" applyNumberFormat="1" applyFont="1" applyBorder="1" applyAlignment="1">
      <alignment vertical="center" wrapText="1"/>
    </xf>
    <xf numFmtId="0" fontId="7" fillId="16" borderId="8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32" xfId="0" applyNumberFormat="1" applyFont="1" applyFill="1" applyBorder="1" applyAlignment="1">
      <alignment vertical="center"/>
    </xf>
    <xf numFmtId="0" fontId="7" fillId="2" borderId="33" xfId="0" applyNumberFormat="1" applyFont="1" applyFill="1" applyBorder="1" applyAlignment="1">
      <alignment vertical="center"/>
    </xf>
    <xf numFmtId="9" fontId="7" fillId="2" borderId="33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7" fillId="2" borderId="17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vertical="center"/>
    </xf>
    <xf numFmtId="9" fontId="7" fillId="2" borderId="21" xfId="0" applyNumberFormat="1" applyFont="1" applyFill="1" applyBorder="1" applyAlignment="1">
      <alignment vertical="center"/>
    </xf>
    <xf numFmtId="9" fontId="5" fillId="2" borderId="33" xfId="0" applyNumberFormat="1" applyFont="1" applyFill="1" applyBorder="1" applyAlignment="1">
      <alignment vertical="center"/>
    </xf>
    <xf numFmtId="0" fontId="7" fillId="15" borderId="10" xfId="0" applyNumberFormat="1" applyFont="1" applyFill="1" applyBorder="1" applyAlignment="1">
      <alignment vertical="center"/>
    </xf>
    <xf numFmtId="0" fontId="7" fillId="15" borderId="7" xfId="0" applyNumberFormat="1" applyFont="1" applyFill="1" applyBorder="1" applyAlignment="1">
      <alignment vertical="center"/>
    </xf>
    <xf numFmtId="0" fontId="7" fillId="15" borderId="0" xfId="0" applyNumberFormat="1" applyFont="1" applyFill="1" applyAlignment="1">
      <alignment vertical="center"/>
    </xf>
    <xf numFmtId="0" fontId="7" fillId="15" borderId="8" xfId="0" applyNumberFormat="1" applyFont="1" applyFill="1" applyBorder="1" applyAlignment="1">
      <alignment vertical="center"/>
    </xf>
    <xf numFmtId="164" fontId="4" fillId="0" borderId="0" xfId="0" applyFont="1" applyAlignment="1">
      <alignment horizontal="right" vertical="center"/>
    </xf>
    <xf numFmtId="164" fontId="4" fillId="0" borderId="0" xfId="0" applyFon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22" fillId="0" borderId="7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  <xf numFmtId="0" fontId="7" fillId="2" borderId="10" xfId="0" applyNumberFormat="1" applyFont="1" applyFill="1" applyBorder="1" applyAlignment="1">
      <alignment vertical="center"/>
    </xf>
    <xf numFmtId="0" fontId="7" fillId="17" borderId="13" xfId="0" applyNumberFormat="1" applyFont="1" applyFill="1" applyBorder="1" applyAlignment="1">
      <alignment vertical="center"/>
    </xf>
    <xf numFmtId="0" fontId="7" fillId="17" borderId="14" xfId="0" applyNumberFormat="1" applyFont="1" applyFill="1" applyBorder="1" applyAlignment="1">
      <alignment vertical="center"/>
    </xf>
    <xf numFmtId="0" fontId="7" fillId="17" borderId="15" xfId="0" applyNumberFormat="1" applyFont="1" applyFill="1" applyBorder="1" applyAlignment="1">
      <alignment vertical="center"/>
    </xf>
    <xf numFmtId="0" fontId="7" fillId="17" borderId="17" xfId="0" applyNumberFormat="1" applyFont="1" applyFill="1" applyBorder="1" applyAlignment="1">
      <alignment vertical="center"/>
    </xf>
    <xf numFmtId="0" fontId="7" fillId="17" borderId="21" xfId="0" applyNumberFormat="1" applyFont="1" applyFill="1" applyBorder="1" applyAlignment="1">
      <alignment vertical="center"/>
    </xf>
    <xf numFmtId="0" fontId="7" fillId="17" borderId="31" xfId="0" applyNumberFormat="1" applyFont="1" applyFill="1" applyBorder="1" applyAlignment="1">
      <alignment vertical="center"/>
    </xf>
    <xf numFmtId="0" fontId="7" fillId="17" borderId="32" xfId="0" applyNumberFormat="1" applyFont="1" applyFill="1" applyBorder="1" applyAlignment="1">
      <alignment vertical="center"/>
    </xf>
    <xf numFmtId="9" fontId="7" fillId="17" borderId="33" xfId="0" applyNumberFormat="1" applyFont="1" applyFill="1" applyBorder="1" applyAlignment="1">
      <alignment vertical="center"/>
    </xf>
    <xf numFmtId="9" fontId="7" fillId="17" borderId="21" xfId="0" applyNumberFormat="1" applyFont="1" applyFill="1" applyBorder="1" applyAlignment="1">
      <alignment vertical="center"/>
    </xf>
    <xf numFmtId="164" fontId="7" fillId="17" borderId="14" xfId="0" applyFont="1" applyFill="1" applyBorder="1" applyAlignment="1">
      <alignment vertical="center"/>
    </xf>
    <xf numFmtId="0" fontId="7" fillId="17" borderId="15" xfId="0" applyNumberFormat="1" applyFont="1" applyFill="1" applyBorder="1" applyAlignment="1">
      <alignment horizontal="left" vertical="center"/>
    </xf>
    <xf numFmtId="0" fontId="7" fillId="17" borderId="17" xfId="0" applyNumberFormat="1" applyFont="1" applyFill="1" applyBorder="1" applyAlignment="1">
      <alignment horizontal="left" vertical="center"/>
    </xf>
    <xf numFmtId="0" fontId="7" fillId="17" borderId="22" xfId="0" applyNumberFormat="1" applyFont="1" applyFill="1" applyBorder="1" applyAlignment="1">
      <alignment vertical="center"/>
    </xf>
    <xf numFmtId="0" fontId="5" fillId="17" borderId="28" xfId="0" applyNumberFormat="1" applyFont="1" applyFill="1" applyBorder="1" applyAlignment="1">
      <alignment vertical="center"/>
    </xf>
    <xf numFmtId="0" fontId="5" fillId="17" borderId="29" xfId="0" applyNumberFormat="1" applyFont="1" applyFill="1" applyBorder="1" applyAlignment="1">
      <alignment vertical="center"/>
    </xf>
    <xf numFmtId="0" fontId="5" fillId="17" borderId="30" xfId="0" applyNumberFormat="1" applyFont="1" applyFill="1" applyBorder="1" applyAlignment="1">
      <alignment vertical="center"/>
    </xf>
    <xf numFmtId="9" fontId="5" fillId="17" borderId="30" xfId="0" applyNumberFormat="1" applyFont="1" applyFill="1" applyBorder="1" applyAlignment="1">
      <alignment vertical="center"/>
    </xf>
    <xf numFmtId="0" fontId="7" fillId="18" borderId="14" xfId="0" applyNumberFormat="1" applyFont="1" applyFill="1" applyBorder="1" applyAlignment="1">
      <alignment vertical="center"/>
    </xf>
    <xf numFmtId="0" fontId="7" fillId="18" borderId="15" xfId="0" applyNumberFormat="1" applyFont="1" applyFill="1" applyBorder="1" applyAlignment="1">
      <alignment vertical="center"/>
    </xf>
    <xf numFmtId="0" fontId="7" fillId="18" borderId="17" xfId="0" applyNumberFormat="1" applyFont="1" applyFill="1" applyBorder="1" applyAlignment="1">
      <alignment vertical="center"/>
    </xf>
    <xf numFmtId="0" fontId="7" fillId="18" borderId="21" xfId="0" applyNumberFormat="1" applyFont="1" applyFill="1" applyBorder="1" applyAlignment="1">
      <alignment vertical="center"/>
    </xf>
    <xf numFmtId="9" fontId="7" fillId="0" borderId="16" xfId="0" applyNumberFormat="1" applyFont="1" applyBorder="1" applyAlignment="1">
      <alignment vertical="center"/>
    </xf>
    <xf numFmtId="164" fontId="5" fillId="2" borderId="25" xfId="0" applyFont="1" applyFill="1" applyBorder="1" applyAlignment="1">
      <alignment horizontal="right" vertical="center"/>
    </xf>
    <xf numFmtId="164" fontId="5" fillId="2" borderId="24" xfId="0" applyFont="1" applyFill="1" applyBorder="1" applyAlignment="1">
      <alignment horizontal="right" vertical="center"/>
    </xf>
    <xf numFmtId="9" fontId="5" fillId="2" borderId="25" xfId="0" applyNumberFormat="1" applyFont="1" applyFill="1" applyBorder="1" applyAlignment="1">
      <alignment horizontal="right" vertical="center"/>
    </xf>
    <xf numFmtId="164" fontId="7" fillId="0" borderId="17" xfId="0" applyFont="1" applyBorder="1" applyAlignment="1">
      <alignment vertical="center"/>
    </xf>
    <xf numFmtId="164" fontId="7" fillId="0" borderId="21" xfId="0" applyFont="1" applyBorder="1" applyAlignment="1">
      <alignment vertical="center"/>
    </xf>
    <xf numFmtId="164" fontId="7" fillId="0" borderId="24" xfId="0" applyFont="1" applyBorder="1" applyAlignment="1">
      <alignment vertical="center"/>
    </xf>
    <xf numFmtId="164" fontId="7" fillId="0" borderId="25" xfId="0" applyFont="1" applyBorder="1" applyAlignment="1">
      <alignment vertical="center"/>
    </xf>
    <xf numFmtId="9" fontId="7" fillId="0" borderId="25" xfId="0" applyNumberFormat="1" applyFont="1" applyBorder="1" applyAlignment="1">
      <alignment vertical="center"/>
    </xf>
    <xf numFmtId="0" fontId="19" fillId="0" borderId="17" xfId="0" applyNumberFormat="1" applyFont="1" applyBorder="1" applyAlignment="1">
      <alignment vertical="center"/>
    </xf>
    <xf numFmtId="164" fontId="21" fillId="0" borderId="0" xfId="0" applyFont="1" applyAlignment="1">
      <alignment vertical="center"/>
    </xf>
    <xf numFmtId="164" fontId="7" fillId="5" borderId="14" xfId="0" applyFont="1" applyFill="1" applyBorder="1" applyAlignment="1">
      <alignment vertical="center"/>
    </xf>
    <xf numFmtId="164" fontId="24" fillId="5" borderId="17" xfId="0" applyFont="1" applyFill="1" applyBorder="1" applyAlignment="1">
      <alignment horizontal="right" vertical="center"/>
    </xf>
    <xf numFmtId="164" fontId="24" fillId="5" borderId="21" xfId="0" applyFont="1" applyFill="1" applyBorder="1" applyAlignment="1">
      <alignment horizontal="right" vertical="center"/>
    </xf>
    <xf numFmtId="9" fontId="7" fillId="5" borderId="21" xfId="0" applyNumberFormat="1" applyFont="1" applyFill="1" applyBorder="1" applyAlignment="1">
      <alignment horizontal="right" vertical="center"/>
    </xf>
    <xf numFmtId="164" fontId="18" fillId="5" borderId="17" xfId="0" applyFont="1" applyFill="1" applyBorder="1" applyAlignment="1">
      <alignment horizontal="right" vertical="center"/>
    </xf>
    <xf numFmtId="164" fontId="18" fillId="5" borderId="21" xfId="0" applyFont="1" applyFill="1" applyBorder="1" applyAlignment="1">
      <alignment horizontal="right" vertical="center"/>
    </xf>
    <xf numFmtId="164" fontId="7" fillId="5" borderId="25" xfId="0" applyFont="1" applyFill="1" applyBorder="1" applyAlignment="1">
      <alignment vertical="center"/>
    </xf>
    <xf numFmtId="164" fontId="7" fillId="5" borderId="24" xfId="0" applyFont="1" applyFill="1" applyBorder="1" applyAlignment="1">
      <alignment vertical="center"/>
    </xf>
    <xf numFmtId="9" fontId="7" fillId="5" borderId="25" xfId="0" applyNumberFormat="1" applyFont="1" applyFill="1" applyBorder="1" applyAlignment="1">
      <alignment vertical="center"/>
    </xf>
    <xf numFmtId="164" fontId="7" fillId="5" borderId="22" xfId="0" applyFont="1" applyFill="1" applyBorder="1" applyAlignment="1">
      <alignment vertical="center"/>
    </xf>
    <xf numFmtId="164" fontId="5" fillId="5" borderId="25" xfId="0" applyFont="1" applyFill="1" applyBorder="1" applyAlignment="1">
      <alignment vertical="center"/>
    </xf>
    <xf numFmtId="164" fontId="5" fillId="5" borderId="25" xfId="0" applyFont="1" applyFill="1" applyBorder="1" applyAlignment="1">
      <alignment horizontal="right" vertical="center"/>
    </xf>
    <xf numFmtId="164" fontId="5" fillId="5" borderId="24" xfId="0" applyFont="1" applyFill="1" applyBorder="1" applyAlignment="1">
      <alignment horizontal="right" vertical="center"/>
    </xf>
    <xf numFmtId="9" fontId="5" fillId="5" borderId="25" xfId="0" applyNumberFormat="1" applyFont="1" applyFill="1" applyBorder="1" applyAlignment="1">
      <alignment horizontal="right" vertical="center"/>
    </xf>
    <xf numFmtId="164" fontId="7" fillId="6" borderId="14" xfId="0" applyFont="1" applyFill="1" applyBorder="1" applyAlignment="1">
      <alignment vertical="center"/>
    </xf>
    <xf numFmtId="164" fontId="7" fillId="6" borderId="21" xfId="0" applyFont="1" applyFill="1" applyBorder="1" applyAlignment="1">
      <alignment vertical="center"/>
    </xf>
    <xf numFmtId="9" fontId="7" fillId="0" borderId="16" xfId="0" applyNumberFormat="1" applyFont="1" applyBorder="1" applyAlignment="1">
      <alignment horizontal="right" vertical="center"/>
    </xf>
    <xf numFmtId="164" fontId="7" fillId="13" borderId="14" xfId="0" applyFont="1" applyFill="1" applyBorder="1" applyAlignment="1">
      <alignment vertical="center"/>
    </xf>
    <xf numFmtId="164" fontId="7" fillId="13" borderId="21" xfId="0" applyFont="1" applyFill="1" applyBorder="1" applyAlignment="1">
      <alignment vertical="center"/>
    </xf>
    <xf numFmtId="9" fontId="7" fillId="13" borderId="21" xfId="0" applyNumberFormat="1" applyFont="1" applyFill="1" applyBorder="1" applyAlignment="1">
      <alignment horizontal="right" vertical="center"/>
    </xf>
    <xf numFmtId="164" fontId="7" fillId="13" borderId="25" xfId="0" applyFont="1" applyFill="1" applyBorder="1" applyAlignment="1">
      <alignment vertical="center"/>
    </xf>
    <xf numFmtId="164" fontId="7" fillId="13" borderId="24" xfId="0" applyFont="1" applyFill="1" applyBorder="1" applyAlignment="1">
      <alignment vertical="center"/>
    </xf>
    <xf numFmtId="9" fontId="7" fillId="13" borderId="25" xfId="0" applyNumberFormat="1" applyFont="1" applyFill="1" applyBorder="1" applyAlignment="1">
      <alignment vertical="center"/>
    </xf>
    <xf numFmtId="164" fontId="7" fillId="13" borderId="22" xfId="0" applyFont="1" applyFill="1" applyBorder="1" applyAlignment="1">
      <alignment vertical="center"/>
    </xf>
    <xf numFmtId="0" fontId="7" fillId="0" borderId="48" xfId="0" applyNumberFormat="1" applyFont="1" applyBorder="1" applyAlignment="1">
      <alignment vertical="center"/>
    </xf>
    <xf numFmtId="0" fontId="5" fillId="2" borderId="49" xfId="0" applyNumberFormat="1" applyFont="1" applyFill="1" applyBorder="1" applyAlignment="1">
      <alignment vertical="center"/>
    </xf>
    <xf numFmtId="0" fontId="5" fillId="2" borderId="50" xfId="0" applyNumberFormat="1" applyFont="1" applyFill="1" applyBorder="1" applyAlignment="1">
      <alignment vertical="center"/>
    </xf>
    <xf numFmtId="0" fontId="5" fillId="2" borderId="51" xfId="0" applyNumberFormat="1" applyFont="1" applyFill="1" applyBorder="1" applyAlignment="1">
      <alignment vertical="center"/>
    </xf>
    <xf numFmtId="0" fontId="5" fillId="2" borderId="52" xfId="0" applyNumberFormat="1" applyFont="1" applyFill="1" applyBorder="1" applyAlignment="1">
      <alignment vertical="center"/>
    </xf>
    <xf numFmtId="9" fontId="5" fillId="2" borderId="52" xfId="0" applyNumberFormat="1" applyFont="1" applyFill="1" applyBorder="1" applyAlignment="1">
      <alignment vertical="center"/>
    </xf>
    <xf numFmtId="0" fontId="5" fillId="2" borderId="53" xfId="0" applyNumberFormat="1" applyFont="1" applyFill="1" applyBorder="1" applyAlignment="1">
      <alignment vertical="center"/>
    </xf>
    <xf numFmtId="0" fontId="7" fillId="16" borderId="14" xfId="0" applyNumberFormat="1" applyFont="1" applyFill="1" applyBorder="1" applyAlignment="1">
      <alignment vertical="center"/>
    </xf>
    <xf numFmtId="164" fontId="7" fillId="5" borderId="7" xfId="0" applyFont="1" applyFill="1" applyBorder="1" applyAlignment="1">
      <alignment vertical="center"/>
    </xf>
    <xf numFmtId="164" fontId="7" fillId="5" borderId="4" xfId="0" applyFont="1" applyFill="1" applyBorder="1" applyAlignment="1">
      <alignment vertical="center"/>
    </xf>
    <xf numFmtId="164" fontId="7" fillId="5" borderId="5" xfId="0" applyFont="1" applyFill="1" applyBorder="1" applyAlignment="1">
      <alignment vertical="center"/>
    </xf>
    <xf numFmtId="164" fontId="7" fillId="5" borderId="6" xfId="0" applyFont="1" applyFill="1" applyBorder="1" applyAlignment="1">
      <alignment vertical="center"/>
    </xf>
    <xf numFmtId="164" fontId="7" fillId="5" borderId="0" xfId="0" applyFont="1" applyFill="1" applyAlignment="1">
      <alignment vertical="center"/>
    </xf>
    <xf numFmtId="164" fontId="7" fillId="5" borderId="8" xfId="0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7" fillId="13" borderId="14" xfId="0" applyNumberFormat="1" applyFont="1" applyFill="1" applyBorder="1" applyAlignment="1">
      <alignment horizontal="center" vertical="center"/>
    </xf>
    <xf numFmtId="0" fontId="7" fillId="13" borderId="15" xfId="0" applyNumberFormat="1" applyFont="1" applyFill="1" applyBorder="1" applyAlignment="1">
      <alignment horizontal="center" vertical="center"/>
    </xf>
    <xf numFmtId="0" fontId="7" fillId="13" borderId="31" xfId="0" applyNumberFormat="1" applyFont="1" applyFill="1" applyBorder="1" applyAlignment="1">
      <alignment horizontal="center" vertical="center"/>
    </xf>
    <xf numFmtId="0" fontId="7" fillId="13" borderId="32" xfId="0" applyNumberFormat="1" applyFont="1" applyFill="1" applyBorder="1" applyAlignment="1">
      <alignment horizontal="center" vertical="center"/>
    </xf>
    <xf numFmtId="0" fontId="7" fillId="13" borderId="33" xfId="0" applyNumberFormat="1" applyFont="1" applyFill="1" applyBorder="1" applyAlignment="1">
      <alignment horizontal="center" vertical="center"/>
    </xf>
    <xf numFmtId="0" fontId="7" fillId="13" borderId="17" xfId="0" applyNumberFormat="1" applyFont="1" applyFill="1" applyBorder="1" applyAlignment="1">
      <alignment horizontal="center" vertical="center"/>
    </xf>
    <xf numFmtId="0" fontId="7" fillId="13" borderId="21" xfId="0" applyNumberFormat="1" applyFont="1" applyFill="1" applyBorder="1" applyAlignment="1">
      <alignment horizontal="center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164" fontId="25" fillId="0" borderId="0" xfId="0" applyFont="1" applyAlignment="1">
      <alignment vertical="center"/>
    </xf>
    <xf numFmtId="0" fontId="5" fillId="2" borderId="31" xfId="0" applyNumberFormat="1" applyFont="1" applyFill="1" applyBorder="1" applyAlignment="1">
      <alignment horizontal="center" vertical="center"/>
    </xf>
    <xf numFmtId="0" fontId="5" fillId="2" borderId="56" xfId="0" applyNumberFormat="1" applyFont="1" applyFill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49" fontId="5" fillId="2" borderId="23" xfId="0" applyNumberFormat="1" applyFont="1" applyFill="1" applyBorder="1" applyAlignment="1">
      <alignment horizontal="center" vertical="center"/>
    </xf>
    <xf numFmtId="49" fontId="5" fillId="2" borderId="57" xfId="0" applyNumberFormat="1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58" xfId="0" applyNumberFormat="1" applyFont="1" applyBorder="1" applyAlignment="1">
      <alignment horizontal="center" vertical="center"/>
    </xf>
    <xf numFmtId="165" fontId="7" fillId="0" borderId="58" xfId="0" applyNumberFormat="1" applyFont="1" applyBorder="1" applyAlignment="1">
      <alignment horizontal="center" vertical="center"/>
    </xf>
    <xf numFmtId="0" fontId="7" fillId="0" borderId="59" xfId="0" applyNumberFormat="1" applyFont="1" applyBorder="1" applyAlignment="1">
      <alignment horizontal="center" vertical="center"/>
    </xf>
    <xf numFmtId="0" fontId="7" fillId="0" borderId="60" xfId="0" applyNumberFormat="1" applyFont="1" applyBorder="1" applyAlignment="1">
      <alignment horizontal="center" vertical="center"/>
    </xf>
    <xf numFmtId="165" fontId="7" fillId="0" borderId="60" xfId="0" applyNumberFormat="1" applyFont="1" applyBorder="1" applyAlignment="1">
      <alignment horizontal="center" vertical="center"/>
    </xf>
    <xf numFmtId="0" fontId="7" fillId="0" borderId="61" xfId="0" applyNumberFormat="1" applyFont="1" applyBorder="1" applyAlignment="1">
      <alignment horizontal="center" vertical="center"/>
    </xf>
    <xf numFmtId="0" fontId="7" fillId="19" borderId="15" xfId="0" applyNumberFormat="1" applyFont="1" applyFill="1" applyBorder="1" applyAlignment="1">
      <alignment horizontal="left" vertical="center"/>
    </xf>
    <xf numFmtId="0" fontId="7" fillId="19" borderId="15" xfId="0" applyNumberFormat="1" applyFont="1" applyFill="1" applyBorder="1" applyAlignment="1">
      <alignment horizontal="center" vertical="center"/>
    </xf>
    <xf numFmtId="49" fontId="7" fillId="19" borderId="62" xfId="0" applyNumberFormat="1" applyFont="1" applyFill="1" applyBorder="1" applyAlignment="1">
      <alignment horizontal="center" vertical="center"/>
    </xf>
    <xf numFmtId="165" fontId="7" fillId="19" borderId="62" xfId="0" applyNumberFormat="1" applyFont="1" applyFill="1" applyBorder="1" applyAlignment="1">
      <alignment horizontal="center" vertical="center"/>
    </xf>
    <xf numFmtId="0" fontId="7" fillId="19" borderId="63" xfId="0" applyNumberFormat="1" applyFont="1" applyFill="1" applyBorder="1" applyAlignment="1">
      <alignment horizontal="center" vertical="center"/>
    </xf>
    <xf numFmtId="164" fontId="7" fillId="19" borderId="62" xfId="0" applyFont="1" applyFill="1" applyBorder="1" applyAlignment="1">
      <alignment horizontal="center" vertical="center"/>
    </xf>
    <xf numFmtId="0" fontId="7" fillId="19" borderId="64" xfId="0" applyNumberFormat="1" applyFont="1" applyFill="1" applyBorder="1" applyAlignment="1">
      <alignment horizontal="center" vertical="center"/>
    </xf>
    <xf numFmtId="0" fontId="7" fillId="19" borderId="17" xfId="0" applyNumberFormat="1" applyFont="1" applyFill="1" applyBorder="1" applyAlignment="1">
      <alignment horizontal="center" vertical="center"/>
    </xf>
    <xf numFmtId="0" fontId="7" fillId="19" borderId="21" xfId="0" applyNumberFormat="1" applyFont="1" applyFill="1" applyBorder="1" applyAlignment="1">
      <alignment horizontal="center" vertical="center"/>
    </xf>
    <xf numFmtId="49" fontId="7" fillId="19" borderId="57" xfId="0" applyNumberFormat="1" applyFont="1" applyFill="1" applyBorder="1" applyAlignment="1">
      <alignment horizontal="center" vertical="center"/>
    </xf>
    <xf numFmtId="165" fontId="7" fillId="19" borderId="57" xfId="0" applyNumberFormat="1" applyFont="1" applyFill="1" applyBorder="1" applyAlignment="1">
      <alignment horizontal="center" vertical="center"/>
    </xf>
    <xf numFmtId="165" fontId="7" fillId="0" borderId="61" xfId="0" applyNumberFormat="1" applyFont="1" applyBorder="1" applyAlignment="1">
      <alignment horizontal="center" vertical="center"/>
    </xf>
    <xf numFmtId="0" fontId="7" fillId="19" borderId="57" xfId="0" applyNumberFormat="1" applyFont="1" applyFill="1" applyBorder="1" applyAlignment="1">
      <alignment horizontal="center" vertical="center"/>
    </xf>
    <xf numFmtId="166" fontId="7" fillId="19" borderId="64" xfId="0" applyNumberFormat="1" applyFont="1" applyFill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19" borderId="64" xfId="0" applyNumberFormat="1" applyFont="1" applyFill="1" applyBorder="1" applyAlignment="1">
      <alignment horizontal="center" vertical="center"/>
    </xf>
    <xf numFmtId="165" fontId="7" fillId="19" borderId="64" xfId="0" applyNumberFormat="1" applyFont="1" applyFill="1" applyBorder="1" applyAlignment="1">
      <alignment horizontal="center" vertical="center"/>
    </xf>
    <xf numFmtId="166" fontId="7" fillId="0" borderId="61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7" fillId="0" borderId="60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49" fontId="7" fillId="19" borderId="17" xfId="0" applyNumberFormat="1" applyFont="1" applyFill="1" applyBorder="1" applyAlignment="1">
      <alignment horizontal="center" vertical="center"/>
    </xf>
    <xf numFmtId="166" fontId="7" fillId="19" borderId="2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5" fontId="7" fillId="19" borderId="17" xfId="0" applyNumberFormat="1" applyFont="1" applyFill="1" applyBorder="1" applyAlignment="1">
      <alignment horizontal="center" vertical="center"/>
    </xf>
    <xf numFmtId="49" fontId="7" fillId="19" borderId="21" xfId="0" applyNumberFormat="1" applyFont="1" applyFill="1" applyBorder="1" applyAlignment="1">
      <alignment horizontal="center" vertical="center"/>
    </xf>
    <xf numFmtId="0" fontId="7" fillId="19" borderId="23" xfId="0" applyNumberFormat="1" applyFont="1" applyFill="1" applyBorder="1" applyAlignment="1">
      <alignment horizontal="left" vertical="center"/>
    </xf>
    <xf numFmtId="0" fontId="7" fillId="19" borderId="23" xfId="0" applyNumberFormat="1" applyFont="1" applyFill="1" applyBorder="1" applyAlignment="1">
      <alignment horizontal="center" vertical="center"/>
    </xf>
    <xf numFmtId="0" fontId="7" fillId="19" borderId="65" xfId="0" applyNumberFormat="1" applyFont="1" applyFill="1" applyBorder="1" applyAlignment="1">
      <alignment horizontal="center" vertical="center"/>
    </xf>
    <xf numFmtId="0" fontId="7" fillId="19" borderId="66" xfId="0" applyNumberFormat="1" applyFont="1" applyFill="1" applyBorder="1" applyAlignment="1">
      <alignment horizontal="center" vertical="center"/>
    </xf>
    <xf numFmtId="165" fontId="7" fillId="19" borderId="24" xfId="0" applyNumberFormat="1" applyFont="1" applyFill="1" applyBorder="1" applyAlignment="1">
      <alignment horizontal="center" vertical="center"/>
    </xf>
    <xf numFmtId="165" fontId="7" fillId="19" borderId="66" xfId="0" applyNumberFormat="1" applyFont="1" applyFill="1" applyBorder="1" applyAlignment="1">
      <alignment horizontal="center" vertical="center"/>
    </xf>
    <xf numFmtId="49" fontId="7" fillId="19" borderId="25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164" fontId="10" fillId="0" borderId="0" xfId="0" applyFont="1" applyAlignment="1">
      <alignment vertical="center"/>
    </xf>
    <xf numFmtId="164" fontId="0" fillId="0" borderId="0" xfId="0" applyAlignment="1">
      <alignment vertical="center"/>
    </xf>
    <xf numFmtId="0" fontId="7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vertical="center"/>
    </xf>
    <xf numFmtId="164" fontId="10" fillId="7" borderId="18" xfId="0" applyFont="1" applyFill="1" applyBorder="1" applyAlignment="1">
      <alignment vertical="center"/>
    </xf>
    <xf numFmtId="0" fontId="6" fillId="0" borderId="19" xfId="0" applyNumberFormat="1" applyFont="1" applyBorder="1" applyAlignment="1">
      <alignment vertical="center"/>
    </xf>
    <xf numFmtId="0" fontId="6" fillId="0" borderId="20" xfId="0" applyNumberFormat="1" applyFont="1" applyBorder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vertical="center"/>
    </xf>
    <xf numFmtId="0" fontId="6" fillId="0" borderId="6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164" fontId="1" fillId="0" borderId="0" xfId="0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164" fontId="4" fillId="0" borderId="26" xfId="0" applyFont="1" applyBorder="1" applyAlignment="1">
      <alignment horizontal="center" vertical="center"/>
    </xf>
    <xf numFmtId="0" fontId="6" fillId="0" borderId="26" xfId="0" applyNumberFormat="1" applyFont="1" applyBorder="1" applyAlignment="1">
      <alignment vertical="center"/>
    </xf>
    <xf numFmtId="164" fontId="4" fillId="0" borderId="0" xfId="0" applyFont="1" applyAlignment="1">
      <alignment horizontal="right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 wrapText="1"/>
    </xf>
    <xf numFmtId="0" fontId="7" fillId="0" borderId="26" xfId="0" applyNumberFormat="1" applyFont="1" applyBorder="1" applyAlignment="1">
      <alignment vertical="center"/>
    </xf>
    <xf numFmtId="0" fontId="5" fillId="2" borderId="54" xfId="0" applyNumberFormat="1" applyFont="1" applyFill="1" applyBorder="1" applyAlignment="1">
      <alignment vertical="center"/>
    </xf>
    <xf numFmtId="0" fontId="6" fillId="0" borderId="55" xfId="0" applyNumberFormat="1" applyFont="1" applyBorder="1" applyAlignment="1">
      <alignment vertical="center"/>
    </xf>
  </cellXfs>
  <cellStyles count="1">
    <cellStyle name="Normal" xfId="0" builtinId="0"/>
  </cellStyles>
  <dxfs count="1">
    <dxf>
      <font>
        <color rgb="FFF2F2F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Normal="100" workbookViewId="0"/>
  </sheetViews>
  <sheetFormatPr defaultColWidth="14.453125" defaultRowHeight="15" customHeight="1" x14ac:dyDescent="0.4"/>
  <cols>
    <col min="2" max="2" width="4.453125" customWidth="1"/>
    <col min="3" max="3" width="4" customWidth="1"/>
    <col min="4" max="4" width="5.453125" customWidth="1"/>
    <col min="5" max="5" width="6.54296875" customWidth="1"/>
    <col min="6" max="7" width="5.453125" customWidth="1"/>
    <col min="8" max="8" width="7.1796875" customWidth="1"/>
    <col min="9" max="9" width="6.1796875" customWidth="1"/>
    <col min="10" max="10" width="7.453125" customWidth="1"/>
    <col min="11" max="11" width="7.1796875" customWidth="1"/>
    <col min="12" max="12" width="10.453125" customWidth="1"/>
    <col min="13" max="13" width="5.453125" customWidth="1"/>
    <col min="14" max="14" width="6.453125" customWidth="1"/>
    <col min="15" max="15" width="6.81640625" customWidth="1"/>
    <col min="16" max="16" width="7.1796875" customWidth="1"/>
    <col min="17" max="17" width="8" customWidth="1"/>
    <col min="18" max="18" width="7" customWidth="1"/>
    <col min="19" max="19" width="6.81640625" customWidth="1"/>
    <col min="20" max="20" width="11.1796875" customWidth="1"/>
    <col min="21" max="21" width="6.81640625" customWidth="1"/>
    <col min="22" max="23" width="7.453125" customWidth="1"/>
    <col min="24" max="24" width="8" customWidth="1"/>
  </cols>
  <sheetData>
    <row r="1" spans="1:26" ht="12.75" customHeight="1" x14ac:dyDescent="0.4">
      <c r="A1" s="1"/>
      <c r="B1" s="530" t="str">
        <f>'By Lot - West Campus'!C1</f>
        <v>University of California, San Diego Survey of Parking Space Occupancy Levels, Spring 2022</v>
      </c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0"/>
      <c r="T1" s="520"/>
      <c r="U1" s="520"/>
      <c r="V1" s="520"/>
      <c r="W1" s="520"/>
      <c r="X1" s="2"/>
      <c r="Y1" s="1"/>
      <c r="Z1" s="1"/>
    </row>
    <row r="2" spans="1:26" ht="12.75" customHeight="1" x14ac:dyDescent="0.4">
      <c r="A2" s="1"/>
      <c r="B2" s="530" t="s">
        <v>0</v>
      </c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2"/>
      <c r="Y2" s="1"/>
      <c r="Z2" s="1"/>
    </row>
    <row r="3" spans="1:26" ht="8.25" customHeight="1" x14ac:dyDescent="0.4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531"/>
      <c r="U3" s="520"/>
      <c r="V3" s="520"/>
      <c r="W3" s="520"/>
      <c r="X3" s="4"/>
      <c r="Y3" s="1"/>
      <c r="Z3" s="1"/>
    </row>
    <row r="4" spans="1:26" ht="14.5" x14ac:dyDescent="0.4">
      <c r="A4" s="5"/>
      <c r="B4" s="516" t="s">
        <v>1</v>
      </c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6"/>
      <c r="Y4" s="5"/>
      <c r="Z4" s="5"/>
    </row>
    <row r="5" spans="1:26" ht="14.5" x14ac:dyDescent="0.4">
      <c r="A5" s="5"/>
      <c r="B5" s="527" t="s">
        <v>2</v>
      </c>
      <c r="C5" s="528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8"/>
      <c r="S5" s="528"/>
      <c r="T5" s="528"/>
      <c r="U5" s="529"/>
      <c r="V5" s="527" t="s">
        <v>3</v>
      </c>
      <c r="W5" s="529"/>
      <c r="X5" s="6"/>
      <c r="Y5" s="5"/>
      <c r="Z5" s="5"/>
    </row>
    <row r="6" spans="1:26" ht="14.5" x14ac:dyDescent="0.4">
      <c r="A6" s="5"/>
      <c r="B6" s="521" t="s">
        <v>4</v>
      </c>
      <c r="C6" s="520"/>
      <c r="D6" s="520"/>
      <c r="E6" s="520"/>
      <c r="F6" s="520"/>
      <c r="G6" s="520"/>
      <c r="H6" s="520"/>
      <c r="I6" s="520"/>
      <c r="J6" s="520"/>
      <c r="K6" s="520"/>
      <c r="L6" s="520"/>
      <c r="M6" s="520"/>
      <c r="N6" s="520"/>
      <c r="O6" s="520"/>
      <c r="P6" s="520"/>
      <c r="Q6" s="520"/>
      <c r="R6" s="520"/>
      <c r="S6" s="520"/>
      <c r="T6" s="520"/>
      <c r="U6" s="522"/>
      <c r="V6" s="521" t="s">
        <v>5</v>
      </c>
      <c r="W6" s="522"/>
      <c r="X6" s="6"/>
      <c r="Y6" s="5"/>
      <c r="Z6" s="5"/>
    </row>
    <row r="7" spans="1:26" ht="14.5" x14ac:dyDescent="0.4">
      <c r="A7" s="5"/>
      <c r="B7" s="516" t="s">
        <v>6</v>
      </c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  <c r="Q7" s="517"/>
      <c r="R7" s="517"/>
      <c r="S7" s="517"/>
      <c r="T7" s="517"/>
      <c r="U7" s="517"/>
      <c r="V7" s="517"/>
      <c r="W7" s="518"/>
      <c r="X7" s="6"/>
      <c r="Y7" s="5"/>
      <c r="Z7" s="5"/>
    </row>
    <row r="8" spans="1:26" ht="14.5" x14ac:dyDescent="0.4">
      <c r="A8" s="5"/>
      <c r="B8" s="527" t="s">
        <v>7</v>
      </c>
      <c r="C8" s="528"/>
      <c r="D8" s="528"/>
      <c r="E8" s="529"/>
      <c r="F8" s="527" t="s">
        <v>8</v>
      </c>
      <c r="G8" s="528"/>
      <c r="H8" s="528"/>
      <c r="I8" s="528"/>
      <c r="J8" s="528"/>
      <c r="K8" s="528"/>
      <c r="L8" s="528"/>
      <c r="M8" s="528"/>
      <c r="N8" s="528"/>
      <c r="O8" s="528"/>
      <c r="P8" s="528"/>
      <c r="Q8" s="529"/>
      <c r="R8" s="527" t="s">
        <v>9</v>
      </c>
      <c r="S8" s="528"/>
      <c r="T8" s="528"/>
      <c r="U8" s="529"/>
      <c r="V8" s="527" t="s">
        <v>10</v>
      </c>
      <c r="W8" s="529"/>
      <c r="X8" s="6"/>
      <c r="Y8" s="5"/>
      <c r="Z8" s="5"/>
    </row>
    <row r="9" spans="1:26" ht="14.5" x14ac:dyDescent="0.4">
      <c r="A9" s="5"/>
      <c r="B9" s="521" t="s">
        <v>11</v>
      </c>
      <c r="C9" s="520"/>
      <c r="D9" s="520"/>
      <c r="E9" s="522"/>
      <c r="F9" s="521" t="s">
        <v>4</v>
      </c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2"/>
      <c r="R9" s="521" t="s">
        <v>4</v>
      </c>
      <c r="S9" s="520"/>
      <c r="T9" s="520"/>
      <c r="U9" s="522"/>
      <c r="V9" s="521" t="s">
        <v>12</v>
      </c>
      <c r="W9" s="522"/>
      <c r="X9" s="6"/>
      <c r="Y9" s="5"/>
      <c r="Z9" s="5"/>
    </row>
    <row r="10" spans="1:26" ht="14.5" x14ac:dyDescent="0.4">
      <c r="A10" s="5"/>
      <c r="B10" s="521" t="s">
        <v>13</v>
      </c>
      <c r="C10" s="520"/>
      <c r="D10" s="520"/>
      <c r="E10" s="522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R10" s="521"/>
      <c r="S10" s="520"/>
      <c r="T10" s="520"/>
      <c r="U10" s="522"/>
      <c r="V10" s="526" t="s">
        <v>5</v>
      </c>
      <c r="W10" s="522"/>
      <c r="X10" s="6"/>
      <c r="Y10" s="5"/>
      <c r="Z10" s="5"/>
    </row>
    <row r="11" spans="1:26" ht="14.5" x14ac:dyDescent="0.4">
      <c r="A11" s="5"/>
      <c r="B11" s="516" t="s">
        <v>14</v>
      </c>
      <c r="C11" s="517"/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7"/>
      <c r="R11" s="517"/>
      <c r="S11" s="517"/>
      <c r="T11" s="517"/>
      <c r="U11" s="517"/>
      <c r="V11" s="517"/>
      <c r="W11" s="518"/>
      <c r="X11" s="6"/>
      <c r="Y11" s="5"/>
      <c r="Z11" s="5"/>
    </row>
    <row r="12" spans="1:26" ht="14.5" x14ac:dyDescent="0.4">
      <c r="A12" s="5"/>
      <c r="B12" s="11" t="s">
        <v>15</v>
      </c>
      <c r="C12" s="11" t="s">
        <v>15</v>
      </c>
      <c r="D12" s="11" t="s">
        <v>15</v>
      </c>
      <c r="E12" s="11" t="s">
        <v>16</v>
      </c>
      <c r="F12" s="11" t="s">
        <v>17</v>
      </c>
      <c r="G12" s="11" t="s">
        <v>18</v>
      </c>
      <c r="H12" s="11" t="s">
        <v>19</v>
      </c>
      <c r="I12" s="11" t="s">
        <v>20</v>
      </c>
      <c r="J12" s="11" t="s">
        <v>21</v>
      </c>
      <c r="K12" s="11" t="s">
        <v>22</v>
      </c>
      <c r="L12" s="11" t="s">
        <v>23</v>
      </c>
      <c r="M12" s="11" t="s">
        <v>24</v>
      </c>
      <c r="N12" s="11" t="s">
        <v>4</v>
      </c>
      <c r="O12" s="11" t="s">
        <v>25</v>
      </c>
      <c r="P12" s="11" t="s">
        <v>26</v>
      </c>
      <c r="Q12" s="11" t="s">
        <v>27</v>
      </c>
      <c r="R12" s="11" t="s">
        <v>9</v>
      </c>
      <c r="S12" s="11" t="s">
        <v>28</v>
      </c>
      <c r="T12" s="11" t="s">
        <v>29</v>
      </c>
      <c r="U12" s="11" t="s">
        <v>29</v>
      </c>
      <c r="V12" s="7" t="s">
        <v>5</v>
      </c>
      <c r="W12" s="11" t="s">
        <v>5</v>
      </c>
      <c r="X12" s="6"/>
      <c r="Y12" s="5"/>
      <c r="Z12" s="5"/>
    </row>
    <row r="13" spans="1:26" ht="14.5" x14ac:dyDescent="0.4">
      <c r="A13" s="5"/>
      <c r="B13" s="12" t="s">
        <v>30</v>
      </c>
      <c r="C13" s="12" t="s">
        <v>8</v>
      </c>
      <c r="D13" s="12" t="s">
        <v>31</v>
      </c>
      <c r="E13" s="12"/>
      <c r="F13" s="12" t="s">
        <v>32</v>
      </c>
      <c r="G13" s="12" t="s">
        <v>33</v>
      </c>
      <c r="H13" s="12" t="s">
        <v>33</v>
      </c>
      <c r="I13" s="12" t="s">
        <v>33</v>
      </c>
      <c r="J13" s="12" t="s">
        <v>4</v>
      </c>
      <c r="K13" s="12" t="s">
        <v>33</v>
      </c>
      <c r="L13" s="12" t="s">
        <v>34</v>
      </c>
      <c r="M13" s="12" t="s">
        <v>33</v>
      </c>
      <c r="N13" s="12" t="s">
        <v>35</v>
      </c>
      <c r="O13" s="12" t="s">
        <v>33</v>
      </c>
      <c r="P13" s="12" t="s">
        <v>12</v>
      </c>
      <c r="Q13" s="12" t="s">
        <v>11</v>
      </c>
      <c r="R13" s="12" t="s">
        <v>4</v>
      </c>
      <c r="S13" s="12" t="s">
        <v>36</v>
      </c>
      <c r="T13" s="12" t="s">
        <v>37</v>
      </c>
      <c r="U13" s="12" t="s">
        <v>37</v>
      </c>
      <c r="V13" s="8" t="s">
        <v>38</v>
      </c>
      <c r="W13" s="12" t="s">
        <v>39</v>
      </c>
      <c r="X13" s="6"/>
      <c r="Y13" s="5"/>
      <c r="Z13" s="5"/>
    </row>
    <row r="14" spans="1:26" ht="14.5" x14ac:dyDescent="0.4">
      <c r="A14" s="5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 t="s">
        <v>40</v>
      </c>
      <c r="M14" s="13"/>
      <c r="N14" s="13" t="s">
        <v>41</v>
      </c>
      <c r="O14" s="13"/>
      <c r="P14" s="13"/>
      <c r="Q14" s="13" t="s">
        <v>42</v>
      </c>
      <c r="R14" s="13" t="s">
        <v>43</v>
      </c>
      <c r="S14" s="13" t="s">
        <v>44</v>
      </c>
      <c r="T14" s="13" t="s">
        <v>38</v>
      </c>
      <c r="U14" s="13" t="s">
        <v>39</v>
      </c>
      <c r="V14" s="14"/>
      <c r="W14" s="13"/>
      <c r="X14" s="6"/>
      <c r="Y14" s="5"/>
      <c r="Z14" s="5"/>
    </row>
    <row r="15" spans="1:26" ht="14.5" x14ac:dyDescent="0.4">
      <c r="A15" s="5"/>
      <c r="B15" s="516" t="s">
        <v>45</v>
      </c>
      <c r="C15" s="517"/>
      <c r="D15" s="517"/>
      <c r="E15" s="517"/>
      <c r="F15" s="517"/>
      <c r="G15" s="517"/>
      <c r="H15" s="517"/>
      <c r="I15" s="517"/>
      <c r="J15" s="517"/>
      <c r="K15" s="517"/>
      <c r="L15" s="517"/>
      <c r="M15" s="517"/>
      <c r="N15" s="517"/>
      <c r="O15" s="517"/>
      <c r="P15" s="517"/>
      <c r="Q15" s="517"/>
      <c r="R15" s="517"/>
      <c r="S15" s="517"/>
      <c r="T15" s="517"/>
      <c r="U15" s="517"/>
      <c r="V15" s="517"/>
      <c r="W15" s="518"/>
      <c r="X15" s="6"/>
      <c r="Y15" s="5"/>
      <c r="Z15" s="5"/>
    </row>
    <row r="16" spans="1:26" ht="13.5" customHeight="1" x14ac:dyDescent="0.4">
      <c r="A16" s="5"/>
      <c r="B16" s="15" t="s">
        <v>46</v>
      </c>
      <c r="C16" s="15" t="s">
        <v>47</v>
      </c>
      <c r="D16" s="15" t="s">
        <v>48</v>
      </c>
      <c r="E16" s="15" t="s">
        <v>49</v>
      </c>
      <c r="F16" s="16" t="s">
        <v>50</v>
      </c>
      <c r="G16" s="15" t="s">
        <v>51</v>
      </c>
      <c r="H16" s="15" t="s">
        <v>52</v>
      </c>
      <c r="I16" s="17" t="s">
        <v>53</v>
      </c>
      <c r="J16" s="15" t="s">
        <v>54</v>
      </c>
      <c r="K16" s="15" t="s">
        <v>55</v>
      </c>
      <c r="L16" s="15" t="s">
        <v>56</v>
      </c>
      <c r="M16" s="15" t="s">
        <v>57</v>
      </c>
      <c r="N16" s="18" t="s">
        <v>58</v>
      </c>
      <c r="O16" s="15" t="s">
        <v>59</v>
      </c>
      <c r="P16" s="19" t="s">
        <v>60</v>
      </c>
      <c r="Q16" s="15" t="s">
        <v>61</v>
      </c>
      <c r="R16" s="20" t="s">
        <v>62</v>
      </c>
      <c r="S16" s="21" t="s">
        <v>63</v>
      </c>
      <c r="T16" s="15" t="s">
        <v>64</v>
      </c>
      <c r="U16" s="17" t="s">
        <v>65</v>
      </c>
      <c r="V16" s="15" t="s">
        <v>66</v>
      </c>
      <c r="W16" s="22" t="s">
        <v>67</v>
      </c>
      <c r="X16" s="6"/>
      <c r="Y16" s="5"/>
      <c r="Z16" s="5"/>
    </row>
    <row r="17" spans="1:26" ht="13.5" customHeight="1" x14ac:dyDescent="0.4">
      <c r="A17" s="5"/>
      <c r="B17" s="17" t="s">
        <v>68</v>
      </c>
      <c r="C17" s="17" t="s">
        <v>69</v>
      </c>
      <c r="D17" s="17" t="s">
        <v>70</v>
      </c>
      <c r="E17" s="17" t="s">
        <v>71</v>
      </c>
      <c r="F17" s="17"/>
      <c r="G17" s="23" t="s">
        <v>72</v>
      </c>
      <c r="H17" s="24" t="s">
        <v>73</v>
      </c>
      <c r="I17" s="17" t="s">
        <v>74</v>
      </c>
      <c r="J17" s="24" t="s">
        <v>75</v>
      </c>
      <c r="K17" s="17" t="s">
        <v>76</v>
      </c>
      <c r="L17" s="17" t="s">
        <v>77</v>
      </c>
      <c r="M17" s="25" t="s">
        <v>78</v>
      </c>
      <c r="N17" s="17" t="s">
        <v>79</v>
      </c>
      <c r="O17" s="17" t="s">
        <v>80</v>
      </c>
      <c r="P17" s="17" t="s">
        <v>81</v>
      </c>
      <c r="Q17" s="26" t="s">
        <v>82</v>
      </c>
      <c r="R17" s="17" t="s">
        <v>83</v>
      </c>
      <c r="S17" s="17" t="s">
        <v>84</v>
      </c>
      <c r="T17" s="17" t="s">
        <v>85</v>
      </c>
      <c r="U17" s="17" t="s">
        <v>86</v>
      </c>
      <c r="V17" s="17" t="s">
        <v>87</v>
      </c>
      <c r="W17" s="22" t="s">
        <v>88</v>
      </c>
      <c r="X17" s="6"/>
      <c r="Y17" s="5"/>
      <c r="Z17" s="5"/>
    </row>
    <row r="18" spans="1:26" ht="13.5" customHeight="1" x14ac:dyDescent="0.4">
      <c r="A18" s="5"/>
      <c r="B18" s="17" t="s">
        <v>89</v>
      </c>
      <c r="C18" s="26" t="s">
        <v>90</v>
      </c>
      <c r="D18" s="17" t="s">
        <v>91</v>
      </c>
      <c r="E18" s="17"/>
      <c r="F18" s="17"/>
      <c r="G18" s="23" t="s">
        <v>92</v>
      </c>
      <c r="H18" s="24" t="s">
        <v>93</v>
      </c>
      <c r="I18" s="17" t="s">
        <v>94</v>
      </c>
      <c r="J18" s="17" t="s">
        <v>95</v>
      </c>
      <c r="K18" s="17" t="s">
        <v>96</v>
      </c>
      <c r="L18" s="17" t="s">
        <v>97</v>
      </c>
      <c r="M18" s="27" t="s">
        <v>98</v>
      </c>
      <c r="N18" s="17"/>
      <c r="O18" s="17" t="s">
        <v>99</v>
      </c>
      <c r="P18" s="17" t="s">
        <v>100</v>
      </c>
      <c r="Q18" s="17" t="s">
        <v>101</v>
      </c>
      <c r="R18" s="17" t="s">
        <v>102</v>
      </c>
      <c r="S18" s="17" t="s">
        <v>103</v>
      </c>
      <c r="T18" s="17" t="s">
        <v>104</v>
      </c>
      <c r="U18" s="17" t="s">
        <v>105</v>
      </c>
      <c r="V18" s="17" t="s">
        <v>106</v>
      </c>
      <c r="W18" s="26" t="s">
        <v>107</v>
      </c>
      <c r="X18" s="6"/>
      <c r="Y18" s="5"/>
      <c r="Z18" s="5"/>
    </row>
    <row r="19" spans="1:26" ht="13.5" customHeight="1" x14ac:dyDescent="0.4">
      <c r="A19" s="5"/>
      <c r="B19" s="17" t="s">
        <v>108</v>
      </c>
      <c r="C19" s="17" t="s">
        <v>109</v>
      </c>
      <c r="D19" s="17"/>
      <c r="E19" s="17"/>
      <c r="F19" s="17"/>
      <c r="G19" s="17" t="s">
        <v>110</v>
      </c>
      <c r="H19" s="17" t="s">
        <v>111</v>
      </c>
      <c r="I19" s="17" t="s">
        <v>112</v>
      </c>
      <c r="J19" s="17" t="s">
        <v>113</v>
      </c>
      <c r="K19" s="17" t="s">
        <v>114</v>
      </c>
      <c r="L19" s="17" t="s">
        <v>115</v>
      </c>
      <c r="M19" s="27" t="s">
        <v>116</v>
      </c>
      <c r="N19" s="17"/>
      <c r="O19" s="17" t="s">
        <v>117</v>
      </c>
      <c r="P19" s="24" t="s">
        <v>118</v>
      </c>
      <c r="Q19" s="17" t="s">
        <v>119</v>
      </c>
      <c r="R19" s="17" t="s">
        <v>120</v>
      </c>
      <c r="S19" s="17"/>
      <c r="T19" s="17" t="s">
        <v>121</v>
      </c>
      <c r="U19" s="17" t="s">
        <v>122</v>
      </c>
      <c r="V19" s="17" t="s">
        <v>123</v>
      </c>
      <c r="W19" s="17" t="s">
        <v>124</v>
      </c>
      <c r="X19" s="6"/>
      <c r="Y19" s="5"/>
      <c r="Z19" s="5"/>
    </row>
    <row r="20" spans="1:26" ht="13.5" customHeight="1" x14ac:dyDescent="0.4">
      <c r="A20" s="5"/>
      <c r="B20" s="17" t="s">
        <v>125</v>
      </c>
      <c r="C20" s="17" t="s">
        <v>126</v>
      </c>
      <c r="D20" s="17"/>
      <c r="E20" s="17"/>
      <c r="F20" s="17"/>
      <c r="G20" s="24" t="s">
        <v>127</v>
      </c>
      <c r="H20" s="17" t="s">
        <v>128</v>
      </c>
      <c r="I20" s="17" t="s">
        <v>129</v>
      </c>
      <c r="J20" s="17" t="s">
        <v>130</v>
      </c>
      <c r="K20" s="17" t="s">
        <v>131</v>
      </c>
      <c r="L20" s="17" t="s">
        <v>132</v>
      </c>
      <c r="M20" s="27" t="s">
        <v>133</v>
      </c>
      <c r="N20" s="17"/>
      <c r="O20" s="17" t="s">
        <v>134</v>
      </c>
      <c r="P20" s="17" t="s">
        <v>135</v>
      </c>
      <c r="Q20" s="17" t="s">
        <v>136</v>
      </c>
      <c r="R20" s="17" t="s">
        <v>137</v>
      </c>
      <c r="S20" s="17" t="s">
        <v>138</v>
      </c>
      <c r="T20" s="17" t="s">
        <v>139</v>
      </c>
      <c r="U20" s="17" t="s">
        <v>140</v>
      </c>
      <c r="V20" s="17" t="s">
        <v>141</v>
      </c>
      <c r="W20" s="17" t="s">
        <v>142</v>
      </c>
      <c r="X20" s="6"/>
      <c r="Y20" s="5"/>
      <c r="Z20" s="5"/>
    </row>
    <row r="21" spans="1:26" ht="13.5" customHeight="1" x14ac:dyDescent="0.4">
      <c r="A21" s="5"/>
      <c r="B21" s="17" t="s">
        <v>143</v>
      </c>
      <c r="C21" s="17"/>
      <c r="D21" s="17"/>
      <c r="E21" s="17"/>
      <c r="F21" s="17"/>
      <c r="G21" s="24" t="s">
        <v>144</v>
      </c>
      <c r="H21" s="17" t="s">
        <v>145</v>
      </c>
      <c r="I21" s="17" t="s">
        <v>146</v>
      </c>
      <c r="J21" s="17"/>
      <c r="K21" s="17" t="s">
        <v>147</v>
      </c>
      <c r="L21" s="17" t="s">
        <v>148</v>
      </c>
      <c r="M21" s="27" t="s">
        <v>149</v>
      </c>
      <c r="N21" s="17"/>
      <c r="O21" s="17" t="s">
        <v>150</v>
      </c>
      <c r="P21" s="17" t="s">
        <v>151</v>
      </c>
      <c r="Q21" s="17" t="s">
        <v>152</v>
      </c>
      <c r="R21" s="17"/>
      <c r="S21" s="17" t="s">
        <v>153</v>
      </c>
      <c r="T21" s="17" t="s">
        <v>154</v>
      </c>
      <c r="U21" s="17" t="s">
        <v>155</v>
      </c>
      <c r="V21" s="17" t="s">
        <v>156</v>
      </c>
      <c r="W21" s="17" t="s">
        <v>157</v>
      </c>
      <c r="X21" s="6"/>
      <c r="Y21" s="5"/>
      <c r="Z21" s="5"/>
    </row>
    <row r="22" spans="1:26" ht="13.5" customHeight="1" x14ac:dyDescent="0.4">
      <c r="A22" s="5"/>
      <c r="B22" s="17" t="s">
        <v>158</v>
      </c>
      <c r="C22" s="17"/>
      <c r="D22" s="17"/>
      <c r="E22" s="17"/>
      <c r="F22" s="17"/>
      <c r="G22" s="28" t="s">
        <v>159</v>
      </c>
      <c r="H22" s="17" t="s">
        <v>160</v>
      </c>
      <c r="I22" s="17"/>
      <c r="J22" s="17"/>
      <c r="K22" s="17" t="s">
        <v>161</v>
      </c>
      <c r="L22" s="17" t="s">
        <v>162</v>
      </c>
      <c r="M22" s="27" t="s">
        <v>163</v>
      </c>
      <c r="N22" s="17"/>
      <c r="O22" s="17" t="s">
        <v>164</v>
      </c>
      <c r="P22" s="17" t="s">
        <v>165</v>
      </c>
      <c r="Q22" s="17" t="s">
        <v>166</v>
      </c>
      <c r="R22" s="17"/>
      <c r="S22" s="17" t="s">
        <v>167</v>
      </c>
      <c r="T22" s="17" t="s">
        <v>168</v>
      </c>
      <c r="U22" s="29" t="s">
        <v>169</v>
      </c>
      <c r="V22" s="17" t="s">
        <v>170</v>
      </c>
      <c r="W22" s="17" t="s">
        <v>171</v>
      </c>
      <c r="X22" s="6"/>
      <c r="Y22" s="5"/>
      <c r="Z22" s="5"/>
    </row>
    <row r="23" spans="1:26" ht="13.5" customHeight="1" x14ac:dyDescent="0.4">
      <c r="A23" s="5"/>
      <c r="B23" s="17" t="s">
        <v>172</v>
      </c>
      <c r="C23" s="17"/>
      <c r="D23" s="17"/>
      <c r="E23" s="17"/>
      <c r="F23" s="17"/>
      <c r="G23" s="22" t="s">
        <v>173</v>
      </c>
      <c r="H23" s="17" t="s">
        <v>174</v>
      </c>
      <c r="I23" s="17"/>
      <c r="J23" s="17"/>
      <c r="K23" s="17" t="s">
        <v>175</v>
      </c>
      <c r="L23" s="17" t="s">
        <v>176</v>
      </c>
      <c r="M23" s="17"/>
      <c r="N23" s="17"/>
      <c r="O23" s="17" t="s">
        <v>177</v>
      </c>
      <c r="P23" s="17" t="s">
        <v>178</v>
      </c>
      <c r="Q23" s="17" t="s">
        <v>179</v>
      </c>
      <c r="R23" s="17"/>
      <c r="S23" s="17"/>
      <c r="T23" s="17" t="s">
        <v>180</v>
      </c>
      <c r="U23" s="17" t="s">
        <v>181</v>
      </c>
      <c r="V23" s="17" t="s">
        <v>182</v>
      </c>
      <c r="W23" s="17" t="s">
        <v>183</v>
      </c>
      <c r="X23" s="6"/>
      <c r="Y23" s="5"/>
      <c r="Z23" s="5"/>
    </row>
    <row r="24" spans="1:26" ht="13.5" customHeight="1" x14ac:dyDescent="0.4">
      <c r="A24" s="5"/>
      <c r="B24" s="17"/>
      <c r="C24" s="17"/>
      <c r="D24" s="17"/>
      <c r="E24" s="17"/>
      <c r="F24" s="17"/>
      <c r="G24" s="17" t="s">
        <v>184</v>
      </c>
      <c r="H24" s="17"/>
      <c r="I24" s="17"/>
      <c r="J24" s="17"/>
      <c r="K24" s="17" t="s">
        <v>185</v>
      </c>
      <c r="L24" s="17" t="s">
        <v>186</v>
      </c>
      <c r="M24" s="17"/>
      <c r="N24" s="17"/>
      <c r="O24" s="17" t="s">
        <v>187</v>
      </c>
      <c r="P24" s="30" t="s">
        <v>188</v>
      </c>
      <c r="Q24" s="17" t="s">
        <v>189</v>
      </c>
      <c r="R24" s="31"/>
      <c r="S24" s="17"/>
      <c r="T24" s="17" t="s">
        <v>190</v>
      </c>
      <c r="U24" s="17" t="s">
        <v>191</v>
      </c>
      <c r="V24" s="17" t="s">
        <v>192</v>
      </c>
      <c r="W24" s="24" t="s">
        <v>193</v>
      </c>
      <c r="X24" s="6"/>
      <c r="Y24" s="5"/>
      <c r="Z24" s="5"/>
    </row>
    <row r="25" spans="1:26" ht="13.5" customHeight="1" x14ac:dyDescent="0.4">
      <c r="A25" s="5"/>
      <c r="B25" s="17"/>
      <c r="C25" s="17"/>
      <c r="D25" s="17"/>
      <c r="E25" s="17"/>
      <c r="F25" s="17"/>
      <c r="G25" s="17" t="s">
        <v>194</v>
      </c>
      <c r="H25" s="17"/>
      <c r="I25" s="17"/>
      <c r="J25" s="6"/>
      <c r="K25" s="32" t="s">
        <v>195</v>
      </c>
      <c r="L25" s="17" t="s">
        <v>196</v>
      </c>
      <c r="M25" s="17"/>
      <c r="N25" s="17"/>
      <c r="O25" s="17" t="s">
        <v>197</v>
      </c>
      <c r="P25" s="32" t="s">
        <v>198</v>
      </c>
      <c r="Q25" s="17" t="s">
        <v>199</v>
      </c>
      <c r="R25" s="31"/>
      <c r="S25" s="17"/>
      <c r="T25" s="17" t="s">
        <v>200</v>
      </c>
      <c r="U25" s="17"/>
      <c r="V25" s="17" t="s">
        <v>201</v>
      </c>
      <c r="W25" s="33" t="s">
        <v>202</v>
      </c>
      <c r="X25" s="6"/>
      <c r="Y25" s="5"/>
      <c r="Z25" s="5"/>
    </row>
    <row r="26" spans="1:26" ht="13.5" customHeight="1" x14ac:dyDescent="0.4">
      <c r="A26" s="5"/>
      <c r="B26" s="17"/>
      <c r="C26" s="17"/>
      <c r="D26" s="17"/>
      <c r="E26" s="17"/>
      <c r="F26" s="17"/>
      <c r="G26" s="17"/>
      <c r="H26" s="17" t="s">
        <v>203</v>
      </c>
      <c r="I26" s="17"/>
      <c r="J26" s="17"/>
      <c r="K26" s="17" t="s">
        <v>204</v>
      </c>
      <c r="L26" s="17" t="s">
        <v>205</v>
      </c>
      <c r="M26" s="17"/>
      <c r="N26" s="17"/>
      <c r="O26" s="17"/>
      <c r="P26" s="32"/>
      <c r="Q26" s="17" t="s">
        <v>206</v>
      </c>
      <c r="R26" s="31"/>
      <c r="S26" s="17"/>
      <c r="T26" s="17" t="s">
        <v>207</v>
      </c>
      <c r="U26" s="17"/>
      <c r="V26" s="17" t="s">
        <v>208</v>
      </c>
      <c r="W26" s="17"/>
      <c r="X26" s="6"/>
      <c r="Y26" s="5"/>
      <c r="Z26" s="5"/>
    </row>
    <row r="27" spans="1:26" ht="13.5" customHeight="1" x14ac:dyDescent="0.4">
      <c r="A27" s="5"/>
      <c r="B27" s="17"/>
      <c r="C27" s="17"/>
      <c r="D27" s="17"/>
      <c r="E27" s="17"/>
      <c r="F27" s="17"/>
      <c r="G27" s="17"/>
      <c r="H27" s="17" t="s">
        <v>209</v>
      </c>
      <c r="I27" s="17"/>
      <c r="J27" s="17"/>
      <c r="K27" s="17" t="s">
        <v>210</v>
      </c>
      <c r="L27" s="17"/>
      <c r="M27" s="17"/>
      <c r="N27" s="17"/>
      <c r="O27" s="17"/>
      <c r="P27" s="32"/>
      <c r="Q27" s="17" t="s">
        <v>211</v>
      </c>
      <c r="R27" s="31"/>
      <c r="S27" s="17"/>
      <c r="T27" s="17" t="s">
        <v>212</v>
      </c>
      <c r="U27" s="17"/>
      <c r="V27" s="32" t="s">
        <v>213</v>
      </c>
      <c r="W27" s="17"/>
      <c r="X27" s="6"/>
      <c r="Y27" s="5"/>
      <c r="Z27" s="5"/>
    </row>
    <row r="28" spans="1:26" ht="13.5" customHeight="1" x14ac:dyDescent="0.4">
      <c r="A28" s="5"/>
      <c r="B28" s="17"/>
      <c r="C28" s="17"/>
      <c r="D28" s="17"/>
      <c r="E28" s="17"/>
      <c r="F28" s="17"/>
      <c r="G28" s="17"/>
      <c r="H28" s="17" t="s">
        <v>214</v>
      </c>
      <c r="I28" s="17"/>
      <c r="J28" s="17"/>
      <c r="K28" s="17" t="s">
        <v>215</v>
      </c>
      <c r="L28" s="17"/>
      <c r="M28" s="17"/>
      <c r="N28" s="17"/>
      <c r="O28" s="17"/>
      <c r="P28" s="32"/>
      <c r="Q28" s="17" t="s">
        <v>216</v>
      </c>
      <c r="R28" s="31"/>
      <c r="S28" s="17"/>
      <c r="T28" s="17" t="s">
        <v>217</v>
      </c>
      <c r="U28" s="17"/>
      <c r="V28" s="17" t="s">
        <v>218</v>
      </c>
      <c r="W28" s="31"/>
      <c r="X28" s="6"/>
      <c r="Y28" s="5"/>
      <c r="Z28" s="5"/>
    </row>
    <row r="29" spans="1:26" ht="13.5" customHeight="1" x14ac:dyDescent="0.4">
      <c r="A29" s="5"/>
      <c r="B29" s="17"/>
      <c r="C29" s="17"/>
      <c r="D29" s="17"/>
      <c r="E29" s="17"/>
      <c r="F29" s="17"/>
      <c r="G29" s="17"/>
      <c r="H29" s="17" t="s">
        <v>219</v>
      </c>
      <c r="I29" s="17"/>
      <c r="J29" s="17"/>
      <c r="K29" s="17" t="s">
        <v>220</v>
      </c>
      <c r="L29" s="17"/>
      <c r="M29" s="17"/>
      <c r="N29" s="17"/>
      <c r="O29" s="17"/>
      <c r="P29" s="32"/>
      <c r="Q29" s="17" t="s">
        <v>221</v>
      </c>
      <c r="R29" s="31"/>
      <c r="S29" s="17"/>
      <c r="T29" s="17" t="s">
        <v>222</v>
      </c>
      <c r="U29" s="17"/>
      <c r="V29" s="17" t="s">
        <v>223</v>
      </c>
      <c r="W29" s="31"/>
      <c r="X29" s="6"/>
      <c r="Y29" s="5"/>
      <c r="Z29" s="5"/>
    </row>
    <row r="30" spans="1:26" ht="13.5" customHeight="1" x14ac:dyDescent="0.4">
      <c r="A30" s="5"/>
      <c r="B30" s="17"/>
      <c r="C30" s="17"/>
      <c r="D30" s="17"/>
      <c r="E30" s="17"/>
      <c r="F30" s="17"/>
      <c r="G30" s="17"/>
      <c r="H30" s="17"/>
      <c r="I30" s="17"/>
      <c r="J30" s="17"/>
      <c r="K30" s="17" t="s">
        <v>224</v>
      </c>
      <c r="L30" s="17"/>
      <c r="M30" s="17"/>
      <c r="N30" s="17"/>
      <c r="O30" s="17"/>
      <c r="P30" s="32"/>
      <c r="Q30" s="17"/>
      <c r="R30" s="31"/>
      <c r="S30" s="17"/>
      <c r="T30" s="17"/>
      <c r="U30" s="17"/>
      <c r="V30" s="17" t="s">
        <v>225</v>
      </c>
      <c r="W30" s="31"/>
      <c r="X30" s="6"/>
      <c r="Y30" s="5"/>
      <c r="Z30" s="5"/>
    </row>
    <row r="31" spans="1:26" ht="13.5" customHeight="1" x14ac:dyDescent="0.4">
      <c r="A31" s="5"/>
      <c r="B31" s="17"/>
      <c r="C31" s="17"/>
      <c r="D31" s="17"/>
      <c r="E31" s="17"/>
      <c r="F31" s="17"/>
      <c r="G31" s="17"/>
      <c r="H31" s="17"/>
      <c r="I31" s="17"/>
      <c r="J31" s="17"/>
      <c r="K31" s="17" t="s">
        <v>226</v>
      </c>
      <c r="L31" s="17"/>
      <c r="M31" s="17"/>
      <c r="N31" s="17"/>
      <c r="O31" s="17"/>
      <c r="P31" s="32"/>
      <c r="Q31" s="17"/>
      <c r="R31" s="31"/>
      <c r="S31" s="17"/>
      <c r="T31" s="17"/>
      <c r="U31" s="17"/>
      <c r="V31" s="17" t="s">
        <v>227</v>
      </c>
      <c r="W31" s="31"/>
      <c r="X31" s="6"/>
      <c r="Y31" s="5"/>
      <c r="Z31" s="5"/>
    </row>
    <row r="32" spans="1:26" ht="13.5" customHeight="1" x14ac:dyDescent="0.4">
      <c r="A32" s="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2"/>
      <c r="Q32" s="17"/>
      <c r="R32" s="31"/>
      <c r="S32" s="17"/>
      <c r="T32" s="17"/>
      <c r="U32" s="17"/>
      <c r="V32" s="17" t="s">
        <v>228</v>
      </c>
      <c r="W32" s="31"/>
      <c r="X32" s="6"/>
      <c r="Y32" s="5"/>
      <c r="Z32" s="5"/>
    </row>
    <row r="33" spans="1:26" ht="13.5" customHeight="1" x14ac:dyDescent="0.4">
      <c r="A33" s="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2"/>
      <c r="Q33" s="17"/>
      <c r="R33" s="31"/>
      <c r="S33" s="17"/>
      <c r="T33" s="17"/>
      <c r="U33" s="17"/>
      <c r="V33" s="17" t="s">
        <v>229</v>
      </c>
      <c r="W33" s="31"/>
      <c r="X33" s="6"/>
      <c r="Y33" s="5"/>
      <c r="Z33" s="5"/>
    </row>
    <row r="34" spans="1:26" ht="13.5" customHeight="1" x14ac:dyDescent="0.4">
      <c r="A34" s="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2"/>
      <c r="Q34" s="17"/>
      <c r="R34" s="31"/>
      <c r="S34" s="17"/>
      <c r="T34" s="17"/>
      <c r="U34" s="17"/>
      <c r="V34" s="17" t="s">
        <v>230</v>
      </c>
      <c r="W34" s="31"/>
      <c r="X34" s="6"/>
      <c r="Y34" s="5"/>
      <c r="Z34" s="5"/>
    </row>
    <row r="35" spans="1:26" ht="13.5" customHeight="1" x14ac:dyDescent="0.4">
      <c r="A35" s="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2"/>
      <c r="Q35" s="17"/>
      <c r="R35" s="31"/>
      <c r="S35" s="17"/>
      <c r="T35" s="17"/>
      <c r="U35" s="17"/>
      <c r="V35" s="17" t="s">
        <v>231</v>
      </c>
      <c r="W35" s="31"/>
      <c r="X35" s="6"/>
      <c r="Y35" s="5"/>
      <c r="Z35" s="5"/>
    </row>
    <row r="36" spans="1:26" ht="13.5" customHeight="1" x14ac:dyDescent="0.4">
      <c r="A36" s="5"/>
      <c r="B36" s="17"/>
      <c r="C36" s="17"/>
      <c r="D36" s="17"/>
      <c r="E36" s="17"/>
      <c r="F36" s="17"/>
      <c r="G36" s="17"/>
      <c r="H36" s="17"/>
      <c r="I36" s="17"/>
      <c r="J36" s="17"/>
      <c r="K36" s="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 t="s">
        <v>232</v>
      </c>
      <c r="W36" s="31"/>
      <c r="X36" s="6"/>
      <c r="Y36" s="5"/>
      <c r="Z36" s="5"/>
    </row>
    <row r="37" spans="1:26" ht="13.5" customHeight="1" x14ac:dyDescent="0.4">
      <c r="A37" s="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 t="s">
        <v>233</v>
      </c>
      <c r="W37" s="31"/>
      <c r="X37" s="6"/>
      <c r="Y37" s="5"/>
      <c r="Z37" s="5"/>
    </row>
    <row r="38" spans="1:26" ht="13.5" customHeight="1" x14ac:dyDescent="0.4">
      <c r="A38" s="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 t="s">
        <v>234</v>
      </c>
      <c r="W38" s="31"/>
      <c r="X38" s="6"/>
      <c r="Y38" s="5"/>
      <c r="Z38" s="5"/>
    </row>
    <row r="39" spans="1:26" ht="13.5" customHeight="1" x14ac:dyDescent="0.4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 t="s">
        <v>235</v>
      </c>
      <c r="W39" s="31"/>
      <c r="X39" s="6"/>
      <c r="Y39" s="5"/>
      <c r="Z39" s="5"/>
    </row>
    <row r="40" spans="1:26" ht="13.5" customHeight="1" x14ac:dyDescent="0.4">
      <c r="A40" s="5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 t="s">
        <v>236</v>
      </c>
      <c r="W40" s="31"/>
      <c r="X40" s="6"/>
      <c r="Y40" s="5"/>
      <c r="Z40" s="5"/>
    </row>
    <row r="41" spans="1:26" ht="13.5" customHeight="1" x14ac:dyDescent="0.4">
      <c r="A41" s="5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2" t="s">
        <v>237</v>
      </c>
      <c r="W41" s="31"/>
      <c r="X41" s="6"/>
      <c r="Y41" s="5"/>
      <c r="Z41" s="5"/>
    </row>
    <row r="42" spans="1:26" ht="13.5" customHeight="1" x14ac:dyDescent="0.4">
      <c r="A42" s="5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 t="s">
        <v>238</v>
      </c>
      <c r="W42" s="31"/>
      <c r="X42" s="6"/>
      <c r="Y42" s="5"/>
      <c r="Z42" s="5"/>
    </row>
    <row r="43" spans="1:26" ht="13.5" customHeight="1" x14ac:dyDescent="0.4">
      <c r="A43" s="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1"/>
      <c r="X43" s="6"/>
      <c r="Y43" s="5"/>
      <c r="Z43" s="5"/>
    </row>
    <row r="44" spans="1:26" ht="15.75" customHeight="1" x14ac:dyDescent="0.4">
      <c r="A44" s="5"/>
      <c r="B44" s="516" t="s">
        <v>239</v>
      </c>
      <c r="C44" s="517"/>
      <c r="D44" s="517"/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517"/>
      <c r="Q44" s="517"/>
      <c r="R44" s="517"/>
      <c r="S44" s="517"/>
      <c r="T44" s="517"/>
      <c r="U44" s="517"/>
      <c r="V44" s="517"/>
      <c r="W44" s="518"/>
      <c r="X44" s="6"/>
      <c r="Y44" s="5"/>
      <c r="Z44" s="5"/>
    </row>
    <row r="45" spans="1:26" ht="14.5" x14ac:dyDescent="0.4">
      <c r="A45" s="5"/>
      <c r="B45" s="15"/>
      <c r="C45" s="15"/>
      <c r="D45" s="15"/>
      <c r="E45" s="15"/>
      <c r="F45" s="15"/>
      <c r="G45" s="15"/>
      <c r="H45" s="15" t="s">
        <v>240</v>
      </c>
      <c r="I45" s="15"/>
      <c r="J45" s="15" t="s">
        <v>241</v>
      </c>
      <c r="K45" s="15"/>
      <c r="L45" s="15" t="s">
        <v>242</v>
      </c>
      <c r="M45" s="15"/>
      <c r="N45" s="15"/>
      <c r="O45" s="15" t="s">
        <v>243</v>
      </c>
      <c r="P45" s="15"/>
      <c r="Q45" s="15" t="s">
        <v>244</v>
      </c>
      <c r="R45" s="15"/>
      <c r="S45" s="15" t="s">
        <v>245</v>
      </c>
      <c r="T45" s="15" t="s">
        <v>246</v>
      </c>
      <c r="U45" s="15"/>
      <c r="V45" s="15" t="s">
        <v>247</v>
      </c>
      <c r="W45" s="31" t="s">
        <v>248</v>
      </c>
      <c r="X45" s="6"/>
      <c r="Y45" s="5"/>
      <c r="Z45" s="5"/>
    </row>
    <row r="46" spans="1:26" ht="14.5" x14ac:dyDescent="0.4">
      <c r="A46" s="5"/>
      <c r="B46" s="17"/>
      <c r="C46" s="17"/>
      <c r="D46" s="17"/>
      <c r="E46" s="17"/>
      <c r="F46" s="17"/>
      <c r="G46" s="17"/>
      <c r="H46" s="17" t="s">
        <v>249</v>
      </c>
      <c r="I46" s="17"/>
      <c r="J46" s="17" t="s">
        <v>250</v>
      </c>
      <c r="K46" s="17"/>
      <c r="L46" s="17" t="s">
        <v>251</v>
      </c>
      <c r="M46" s="17"/>
      <c r="N46" s="17"/>
      <c r="O46" s="17" t="s">
        <v>252</v>
      </c>
      <c r="P46" s="17"/>
      <c r="Q46" s="17" t="s">
        <v>253</v>
      </c>
      <c r="R46" s="17"/>
      <c r="S46" s="17" t="s">
        <v>254</v>
      </c>
      <c r="T46" s="17" t="s">
        <v>255</v>
      </c>
      <c r="U46" s="17"/>
      <c r="V46" s="17" t="s">
        <v>256</v>
      </c>
      <c r="W46" s="31" t="s">
        <v>257</v>
      </c>
      <c r="X46" s="6"/>
      <c r="Y46" s="5"/>
      <c r="Z46" s="5"/>
    </row>
    <row r="47" spans="1:26" ht="14.5" x14ac:dyDescent="0.4">
      <c r="A47" s="5"/>
      <c r="B47" s="17"/>
      <c r="C47" s="17"/>
      <c r="D47" s="17"/>
      <c r="E47" s="17"/>
      <c r="F47" s="17"/>
      <c r="G47" s="17"/>
      <c r="H47" s="17"/>
      <c r="I47" s="17"/>
      <c r="J47" s="17" t="s">
        <v>258</v>
      </c>
      <c r="K47" s="17"/>
      <c r="L47" s="17" t="s">
        <v>259</v>
      </c>
      <c r="M47" s="17"/>
      <c r="N47" s="17"/>
      <c r="O47" s="17"/>
      <c r="P47" s="17"/>
      <c r="Q47" s="17"/>
      <c r="R47" s="17"/>
      <c r="S47" s="17" t="s">
        <v>260</v>
      </c>
      <c r="T47" s="17" t="s">
        <v>261</v>
      </c>
      <c r="U47" s="17"/>
      <c r="V47" s="17" t="s">
        <v>262</v>
      </c>
      <c r="W47" s="31"/>
      <c r="X47" s="6"/>
      <c r="Y47" s="5"/>
      <c r="Z47" s="5"/>
    </row>
    <row r="48" spans="1:26" ht="14.5" x14ac:dyDescent="0.4">
      <c r="A48" s="5"/>
      <c r="B48" s="17"/>
      <c r="C48" s="17"/>
      <c r="D48" s="17"/>
      <c r="E48" s="17"/>
      <c r="F48" s="17"/>
      <c r="G48" s="17"/>
      <c r="H48" s="17"/>
      <c r="I48" s="17"/>
      <c r="J48" s="17" t="s">
        <v>263</v>
      </c>
      <c r="K48" s="17"/>
      <c r="L48" s="17" t="s">
        <v>264</v>
      </c>
      <c r="M48" s="17"/>
      <c r="N48" s="17"/>
      <c r="O48" s="17"/>
      <c r="P48" s="17"/>
      <c r="Q48" s="17" t="s">
        <v>265</v>
      </c>
      <c r="R48" s="17"/>
      <c r="S48" s="6"/>
      <c r="T48" s="17" t="s">
        <v>266</v>
      </c>
      <c r="U48" s="17"/>
      <c r="V48" s="17" t="s">
        <v>267</v>
      </c>
      <c r="W48" s="31"/>
      <c r="X48" s="6"/>
      <c r="Y48" s="5"/>
      <c r="Z48" s="5"/>
    </row>
    <row r="49" spans="1:26" ht="14.5" x14ac:dyDescent="0.4">
      <c r="A49" s="5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 t="s">
        <v>268</v>
      </c>
      <c r="R49" s="17"/>
      <c r="S49" s="17"/>
      <c r="T49" s="17" t="s">
        <v>269</v>
      </c>
      <c r="U49" s="17"/>
      <c r="V49" s="17"/>
      <c r="W49" s="31"/>
      <c r="X49" s="6"/>
      <c r="Y49" s="5"/>
      <c r="Z49" s="5"/>
    </row>
    <row r="50" spans="1:26" ht="14.5" x14ac:dyDescent="0.4">
      <c r="A50" s="5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 t="s">
        <v>270</v>
      </c>
      <c r="R50" s="17"/>
      <c r="S50" s="17"/>
      <c r="T50" s="17" t="s">
        <v>271</v>
      </c>
      <c r="U50" s="17"/>
      <c r="V50" s="17"/>
      <c r="W50" s="31"/>
      <c r="X50" s="6"/>
      <c r="Y50" s="5"/>
      <c r="Z50" s="5"/>
    </row>
    <row r="51" spans="1:26" ht="14.5" x14ac:dyDescent="0.4">
      <c r="A51" s="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 t="s">
        <v>265</v>
      </c>
      <c r="R51" s="34"/>
      <c r="S51" s="34"/>
      <c r="T51" s="34"/>
      <c r="U51" s="34"/>
      <c r="V51" s="34"/>
      <c r="W51" s="35"/>
      <c r="X51" s="6"/>
      <c r="Y51" s="5"/>
      <c r="Z51" s="5"/>
    </row>
    <row r="52" spans="1:26" ht="12" customHeight="1" x14ac:dyDescent="0.4">
      <c r="A52" s="1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1"/>
      <c r="Z52" s="1"/>
    </row>
    <row r="53" spans="1:26" ht="12" customHeight="1" x14ac:dyDescent="0.4">
      <c r="A53" s="1"/>
      <c r="B53" s="37" t="s">
        <v>272</v>
      </c>
      <c r="C53" s="37"/>
      <c r="D53" s="37"/>
      <c r="E53" s="37"/>
      <c r="F53" s="38" t="s">
        <v>273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6"/>
      <c r="S53" s="36"/>
      <c r="T53" s="36"/>
      <c r="U53" s="36"/>
      <c r="V53" s="36"/>
      <c r="W53" s="36"/>
      <c r="X53" s="36"/>
      <c r="Y53" s="1"/>
      <c r="Z53" s="1"/>
    </row>
    <row r="54" spans="1:26" ht="15.75" customHeight="1" x14ac:dyDescent="0.4">
      <c r="A54" s="1"/>
      <c r="B54" s="39" t="s">
        <v>274</v>
      </c>
      <c r="C54" s="39"/>
      <c r="D54" s="39"/>
      <c r="E54" s="39"/>
      <c r="F54" s="39"/>
      <c r="G54" s="39"/>
      <c r="H54" s="39"/>
      <c r="I54" s="38"/>
      <c r="J54" s="38"/>
      <c r="K54" s="38"/>
      <c r="L54" s="38"/>
      <c r="M54" s="38"/>
      <c r="N54" s="38"/>
      <c r="O54" s="38"/>
      <c r="P54" s="38"/>
      <c r="Q54" s="38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">
      <c r="A55" s="1"/>
      <c r="B55" s="523" t="s">
        <v>275</v>
      </c>
      <c r="C55" s="524"/>
      <c r="D55" s="524"/>
      <c r="E55" s="524"/>
      <c r="F55" s="525"/>
      <c r="G55" s="1"/>
      <c r="H55" s="1" t="s">
        <v>276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9.75" customHeight="1" x14ac:dyDescent="0.4">
      <c r="A56" s="1"/>
      <c r="B56" s="519"/>
      <c r="C56" s="520"/>
      <c r="D56" s="520"/>
      <c r="E56" s="520"/>
      <c r="F56" s="520"/>
      <c r="G56" s="520"/>
      <c r="H56" s="520"/>
      <c r="I56" s="520"/>
      <c r="J56" s="520"/>
      <c r="K56" s="520"/>
      <c r="L56" s="520"/>
      <c r="M56" s="520"/>
      <c r="N56" s="520"/>
      <c r="O56" s="520"/>
      <c r="P56" s="520"/>
      <c r="Q56" s="520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">
      <c r="A57" s="1"/>
      <c r="B57" s="40"/>
      <c r="C57" s="1" t="s">
        <v>277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B1:W1"/>
    <mergeCell ref="B2:W2"/>
    <mergeCell ref="T3:W3"/>
    <mergeCell ref="B4:W4"/>
    <mergeCell ref="B5:U5"/>
    <mergeCell ref="V5:W5"/>
    <mergeCell ref="V6:W6"/>
    <mergeCell ref="F9:Q9"/>
    <mergeCell ref="R9:U9"/>
    <mergeCell ref="R10:U10"/>
    <mergeCell ref="V10:W10"/>
    <mergeCell ref="B6:U6"/>
    <mergeCell ref="B7:W7"/>
    <mergeCell ref="B8:E8"/>
    <mergeCell ref="F8:Q8"/>
    <mergeCell ref="R8:U8"/>
    <mergeCell ref="V8:W8"/>
    <mergeCell ref="B11:W11"/>
    <mergeCell ref="B15:W15"/>
    <mergeCell ref="B44:W44"/>
    <mergeCell ref="B56:Q56"/>
    <mergeCell ref="B9:E9"/>
    <mergeCell ref="B10:E10"/>
    <mergeCell ref="B55:F55"/>
    <mergeCell ref="V9:W9"/>
  </mergeCells>
  <pageMargins left="0.7" right="0.7" top="0.75" bottom="0.75" header="0" footer="0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12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 outlineLevelRow="1" x14ac:dyDescent="0.4"/>
  <cols>
    <col min="1" max="1" width="12.8164062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32" t="str">
        <f>'By Lot - West Campus'!C1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</row>
    <row r="2" spans="1:17" ht="14.25" customHeight="1" x14ac:dyDescent="0.4">
      <c r="A2" s="532" t="s">
        <v>538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</row>
    <row r="3" spans="1:17" ht="11.25" customHeight="1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</row>
    <row r="4" spans="1:17" ht="11.25" customHeight="1" x14ac:dyDescent="0.4">
      <c r="A4" s="42" t="s">
        <v>239</v>
      </c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</row>
    <row r="5" spans="1:17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</row>
    <row r="6" spans="1:17" ht="11.25" customHeight="1" x14ac:dyDescent="0.4">
      <c r="A6" s="50"/>
      <c r="B6" s="50"/>
      <c r="C6" s="50"/>
      <c r="D6" s="51" t="s">
        <v>298</v>
      </c>
      <c r="E6" s="52" t="s">
        <v>298</v>
      </c>
      <c r="F6" s="52" t="s">
        <v>298</v>
      </c>
      <c r="G6" s="52" t="s">
        <v>298</v>
      </c>
      <c r="H6" s="52" t="s">
        <v>299</v>
      </c>
      <c r="I6" s="52" t="s">
        <v>299</v>
      </c>
      <c r="J6" s="52" t="s">
        <v>299</v>
      </c>
      <c r="K6" s="52" t="s">
        <v>299</v>
      </c>
      <c r="L6" s="52" t="s">
        <v>299</v>
      </c>
      <c r="M6" s="53" t="s">
        <v>299</v>
      </c>
      <c r="N6" s="51" t="s">
        <v>284</v>
      </c>
      <c r="O6" s="52" t="s">
        <v>284</v>
      </c>
      <c r="P6" s="53" t="s">
        <v>296</v>
      </c>
      <c r="Q6" s="6"/>
    </row>
    <row r="7" spans="1:17" ht="11.25" customHeight="1" outlineLevel="1" x14ac:dyDescent="0.4">
      <c r="A7" s="15" t="s">
        <v>240</v>
      </c>
      <c r="B7" s="17" t="s">
        <v>300</v>
      </c>
      <c r="C7" s="17">
        <f>SUM('By Lot - West Campus'!E333,'By Lot - West Campus'!E350,'By Lot - West Campus'!E367)</f>
        <v>292</v>
      </c>
      <c r="D7" s="54">
        <f>SUM('By Lot - West Campus'!F333,'By Lot - West Campus'!F350,'By Lot - West Campus'!F367)</f>
        <v>141</v>
      </c>
      <c r="E7" s="58">
        <f>SUM('By Lot - West Campus'!G333,'By Lot - West Campus'!G350,'By Lot - West Campus'!G367)</f>
        <v>84</v>
      </c>
      <c r="F7" s="58">
        <f>SUM('By Lot - West Campus'!H333,'By Lot - West Campus'!H350,'By Lot - West Campus'!H367)</f>
        <v>0</v>
      </c>
      <c r="G7" s="58">
        <f>SUM('By Lot - West Campus'!I333,'By Lot - West Campus'!I350,'By Lot - West Campus'!I367)</f>
        <v>0</v>
      </c>
      <c r="H7" s="58">
        <f>SUM('By Lot - West Campus'!J333,'By Lot - West Campus'!J350,'By Lot - West Campus'!J367)</f>
        <v>0</v>
      </c>
      <c r="I7" s="58">
        <f>SUM('By Lot - West Campus'!K333,'By Lot - West Campus'!K350,'By Lot - West Campus'!K367)</f>
        <v>2</v>
      </c>
      <c r="J7" s="58">
        <f>SUM('By Lot - West Campus'!L333,'By Lot - West Campus'!L350,'By Lot - West Campus'!L367)</f>
        <v>0</v>
      </c>
      <c r="K7" s="58">
        <f>SUM('By Lot - West Campus'!M333,'By Lot - West Campus'!M350,'By Lot - West Campus'!M367)</f>
        <v>7</v>
      </c>
      <c r="L7" s="58">
        <f>SUM('By Lot - West Campus'!N333,'By Lot - West Campus'!N350,'By Lot - West Campus'!N367)</f>
        <v>40</v>
      </c>
      <c r="M7" s="60">
        <f>SUM('By Lot - West Campus'!O333,'By Lot - West Campus'!O350,'By Lot - West Campus'!O367)</f>
        <v>64</v>
      </c>
      <c r="N7" s="54">
        <f t="shared" ref="N7:N13" si="0">MIN(D7:M7)</f>
        <v>0</v>
      </c>
      <c r="O7" s="58">
        <f t="shared" ref="O7:O13" si="1">C7-N7</f>
        <v>292</v>
      </c>
      <c r="P7" s="59">
        <f t="shared" ref="P7:P13" si="2">O7/C7</f>
        <v>1</v>
      </c>
      <c r="Q7" s="6"/>
    </row>
    <row r="8" spans="1:17" ht="11.25" customHeight="1" outlineLevel="1" x14ac:dyDescent="0.4">
      <c r="A8" s="17" t="s">
        <v>249</v>
      </c>
      <c r="B8" s="17" t="s">
        <v>301</v>
      </c>
      <c r="C8" s="17">
        <f>SUM('By Lot - West Campus'!E334,'By Lot - West Campus'!E351,'By Lot - West Campus'!E368)</f>
        <v>371</v>
      </c>
      <c r="D8" s="54">
        <f>SUM('By Lot - West Campus'!F334,'By Lot - West Campus'!F351,'By Lot - West Campus'!F368)</f>
        <v>25</v>
      </c>
      <c r="E8" s="58">
        <f>SUM('By Lot - West Campus'!G334,'By Lot - West Campus'!G351,'By Lot - West Campus'!G368)</f>
        <v>0</v>
      </c>
      <c r="F8" s="58">
        <f>SUM('By Lot - West Campus'!H334,'By Lot - West Campus'!H351,'By Lot - West Campus'!H368)</f>
        <v>0</v>
      </c>
      <c r="G8" s="58">
        <f>SUM('By Lot - West Campus'!I334,'By Lot - West Campus'!I351,'By Lot - West Campus'!I368)</f>
        <v>0</v>
      </c>
      <c r="H8" s="58">
        <f>SUM('By Lot - West Campus'!J334,'By Lot - West Campus'!J351,'By Lot - West Campus'!J368)</f>
        <v>0</v>
      </c>
      <c r="I8" s="58">
        <f>SUM('By Lot - West Campus'!K334,'By Lot - West Campus'!K351,'By Lot - West Campus'!K368)</f>
        <v>0</v>
      </c>
      <c r="J8" s="58">
        <f>SUM('By Lot - West Campus'!L334,'By Lot - West Campus'!L351,'By Lot - West Campus'!L368)</f>
        <v>0</v>
      </c>
      <c r="K8" s="58">
        <f>SUM('By Lot - West Campus'!M334,'By Lot - West Campus'!M351,'By Lot - West Campus'!M368)</f>
        <v>22</v>
      </c>
      <c r="L8" s="58">
        <f>SUM('By Lot - West Campus'!N334,'By Lot - West Campus'!N351,'By Lot - West Campus'!N368)</f>
        <v>92</v>
      </c>
      <c r="M8" s="60">
        <f>SUM('By Lot - West Campus'!O334,'By Lot - West Campus'!O351,'By Lot - West Campus'!O368)</f>
        <v>160</v>
      </c>
      <c r="N8" s="54">
        <f t="shared" si="0"/>
        <v>0</v>
      </c>
      <c r="O8" s="58">
        <f t="shared" si="1"/>
        <v>371</v>
      </c>
      <c r="P8" s="59">
        <f t="shared" si="2"/>
        <v>1</v>
      </c>
      <c r="Q8" s="6"/>
    </row>
    <row r="9" spans="1:17" ht="11.25" customHeight="1" outlineLevel="1" x14ac:dyDescent="0.4">
      <c r="A9" s="17"/>
      <c r="B9" s="17" t="s">
        <v>303</v>
      </c>
      <c r="C9" s="17">
        <f>SUM('By Lot - West Campus'!E335,'By Lot - West Campus'!E352,'By Lot - West Campus'!E369)</f>
        <v>113</v>
      </c>
      <c r="D9" s="54">
        <f>SUM('By Lot - West Campus'!F335,'By Lot - West Campus'!F352,'By Lot - West Campus'!F369)</f>
        <v>0</v>
      </c>
      <c r="E9" s="58">
        <f>SUM('By Lot - West Campus'!G335,'By Lot - West Campus'!G352,'By Lot - West Campus'!G369)</f>
        <v>0</v>
      </c>
      <c r="F9" s="58">
        <f>SUM('By Lot - West Campus'!H335,'By Lot - West Campus'!H352,'By Lot - West Campus'!H369)</f>
        <v>0</v>
      </c>
      <c r="G9" s="58">
        <f>SUM('By Lot - West Campus'!I335,'By Lot - West Campus'!I352,'By Lot - West Campus'!I369)</f>
        <v>0</v>
      </c>
      <c r="H9" s="58">
        <f>SUM('By Lot - West Campus'!J335,'By Lot - West Campus'!J352,'By Lot - West Campus'!J369)</f>
        <v>0</v>
      </c>
      <c r="I9" s="58">
        <f>SUM('By Lot - West Campus'!K335,'By Lot - West Campus'!K352,'By Lot - West Campus'!K369)</f>
        <v>0</v>
      </c>
      <c r="J9" s="58">
        <f>SUM('By Lot - West Campus'!L335,'By Lot - West Campus'!L352,'By Lot - West Campus'!L369)</f>
        <v>0</v>
      </c>
      <c r="K9" s="58">
        <f>SUM('By Lot - West Campus'!M335,'By Lot - West Campus'!M352,'By Lot - West Campus'!M369)</f>
        <v>2</v>
      </c>
      <c r="L9" s="58">
        <f>SUM('By Lot - West Campus'!N335,'By Lot - West Campus'!N352,'By Lot - West Campus'!N369)</f>
        <v>0</v>
      </c>
      <c r="M9" s="60">
        <f>SUM('By Lot - West Campus'!O335,'By Lot - West Campus'!O352,'By Lot - West Campus'!O369)</f>
        <v>0</v>
      </c>
      <c r="N9" s="54">
        <f t="shared" si="0"/>
        <v>0</v>
      </c>
      <c r="O9" s="58">
        <f t="shared" si="1"/>
        <v>113</v>
      </c>
      <c r="P9" s="59">
        <f t="shared" si="2"/>
        <v>1</v>
      </c>
      <c r="Q9" s="6"/>
    </row>
    <row r="10" spans="1:17" ht="11.25" customHeight="1" outlineLevel="1" x14ac:dyDescent="0.4">
      <c r="A10" s="17" t="s">
        <v>539</v>
      </c>
      <c r="B10" s="17" t="s">
        <v>307</v>
      </c>
      <c r="C10" s="17">
        <f>SUM('By Lot - West Campus'!E336:E337,'By Lot - West Campus'!E353:E354,'By Lot - West Campus'!E370:E371)</f>
        <v>147</v>
      </c>
      <c r="D10" s="54">
        <f>SUM('By Lot - West Campus'!F336:F337,'By Lot - West Campus'!F353:F354,'By Lot - West Campus'!F370:F371)</f>
        <v>35</v>
      </c>
      <c r="E10" s="58">
        <f>SUM('By Lot - West Campus'!G336:G337,'By Lot - West Campus'!G353:G354,'By Lot - West Campus'!G370:G371)</f>
        <v>2</v>
      </c>
      <c r="F10" s="58">
        <f>SUM('By Lot - West Campus'!H336:H337,'By Lot - West Campus'!H353:H354,'By Lot - West Campus'!H370:H371)</f>
        <v>0</v>
      </c>
      <c r="G10" s="58">
        <f>SUM('By Lot - West Campus'!I336:I337,'By Lot - West Campus'!I353:I354,'By Lot - West Campus'!I370:I371)</f>
        <v>0</v>
      </c>
      <c r="H10" s="58">
        <f>SUM('By Lot - West Campus'!J336:J337,'By Lot - West Campus'!J353:J354,'By Lot - West Campus'!J370:J371)</f>
        <v>0</v>
      </c>
      <c r="I10" s="58">
        <f>SUM('By Lot - West Campus'!K336:K337,'By Lot - West Campus'!K353:K354,'By Lot - West Campus'!K370:K371)</f>
        <v>1</v>
      </c>
      <c r="J10" s="58">
        <f>SUM('By Lot - West Campus'!L336:L337,'By Lot - West Campus'!L353:L354,'By Lot - West Campus'!L370:L371)</f>
        <v>2</v>
      </c>
      <c r="K10" s="58">
        <f>SUM('By Lot - West Campus'!M336:M337,'By Lot - West Campus'!M353:M354,'By Lot - West Campus'!M370:M371)</f>
        <v>0</v>
      </c>
      <c r="L10" s="58">
        <f>SUM('By Lot - West Campus'!N336:N337,'By Lot - West Campus'!N353:N354,'By Lot - West Campus'!N370:N371)</f>
        <v>1</v>
      </c>
      <c r="M10" s="58">
        <f>SUM('By Lot - West Campus'!O336:O337,'By Lot - West Campus'!O353:O354,'By Lot - West Campus'!O370:O371)</f>
        <v>5</v>
      </c>
      <c r="N10" s="54">
        <f t="shared" si="0"/>
        <v>0</v>
      </c>
      <c r="O10" s="58">
        <f t="shared" si="1"/>
        <v>147</v>
      </c>
      <c r="P10" s="59">
        <f t="shared" si="2"/>
        <v>1</v>
      </c>
      <c r="Q10" s="6"/>
    </row>
    <row r="11" spans="1:17" ht="11.25" customHeight="1" outlineLevel="1" x14ac:dyDescent="0.4">
      <c r="A11" s="17" t="s">
        <v>540</v>
      </c>
      <c r="B11" s="17" t="s">
        <v>308</v>
      </c>
      <c r="C11" s="17">
        <f>SUM('By Lot - West Campus'!E338,'By Lot - West Campus'!E355,'By Lot - West Campus'!E372)</f>
        <v>31</v>
      </c>
      <c r="D11" s="54">
        <f>SUM('By Lot - West Campus'!F338,'By Lot - West Campus'!F355,'By Lot - West Campus'!F372)</f>
        <v>24</v>
      </c>
      <c r="E11" s="58">
        <f>SUM('By Lot - West Campus'!G338,'By Lot - West Campus'!G355,'By Lot - West Campus'!G372)</f>
        <v>24</v>
      </c>
      <c r="F11" s="58">
        <f>SUM('By Lot - West Campus'!H338,'By Lot - West Campus'!H355,'By Lot - West Campus'!H372)</f>
        <v>24</v>
      </c>
      <c r="G11" s="58">
        <f>SUM('By Lot - West Campus'!I338,'By Lot - West Campus'!I355,'By Lot - West Campus'!I372)</f>
        <v>10</v>
      </c>
      <c r="H11" s="58">
        <f>SUM('By Lot - West Campus'!J338,'By Lot - West Campus'!J355,'By Lot - West Campus'!J372)</f>
        <v>6</v>
      </c>
      <c r="I11" s="58">
        <f>SUM('By Lot - West Campus'!K338,'By Lot - West Campus'!K355,'By Lot - West Campus'!K372)</f>
        <v>8</v>
      </c>
      <c r="J11" s="58">
        <f>SUM('By Lot - West Campus'!L338,'By Lot - West Campus'!L355,'By Lot - West Campus'!L372)</f>
        <v>14</v>
      </c>
      <c r="K11" s="58">
        <f>SUM('By Lot - West Campus'!M338,'By Lot - West Campus'!M355,'By Lot - West Campus'!M372)</f>
        <v>16</v>
      </c>
      <c r="L11" s="58">
        <f>SUM('By Lot - West Campus'!N338,'By Lot - West Campus'!N355,'By Lot - West Campus'!N372)</f>
        <v>17</v>
      </c>
      <c r="M11" s="58">
        <f>SUM('By Lot - West Campus'!O338,'By Lot - West Campus'!O355,'By Lot - West Campus'!O372)</f>
        <v>15</v>
      </c>
      <c r="N11" s="54">
        <f t="shared" si="0"/>
        <v>6</v>
      </c>
      <c r="O11" s="58">
        <f t="shared" si="1"/>
        <v>25</v>
      </c>
      <c r="P11" s="59">
        <f t="shared" si="2"/>
        <v>0.80645161290322576</v>
      </c>
      <c r="Q11" s="6"/>
    </row>
    <row r="12" spans="1:17" ht="11.25" customHeight="1" outlineLevel="1" x14ac:dyDescent="0.4">
      <c r="A12" s="17" t="s">
        <v>541</v>
      </c>
      <c r="B12" s="17" t="s">
        <v>309</v>
      </c>
      <c r="C12" s="17">
        <f>SUM('By Lot - West Campus'!E339:E344,'By Lot - West Campus'!E356:E361,'By Lot - West Campus'!E373:E378)</f>
        <v>20</v>
      </c>
      <c r="D12" s="54">
        <f>SUM('By Lot - West Campus'!F339:F344,'By Lot - West Campus'!F356:F361,'By Lot - West Campus'!F373:F378)</f>
        <v>10</v>
      </c>
      <c r="E12" s="58">
        <f>SUM('By Lot - West Campus'!G339:G344,'By Lot - West Campus'!G356:G361,'By Lot - West Campus'!G373:G378)</f>
        <v>10</v>
      </c>
      <c r="F12" s="58">
        <f>SUM('By Lot - West Campus'!H339:H344,'By Lot - West Campus'!H356:H361,'By Lot - West Campus'!H373:H378)</f>
        <v>0</v>
      </c>
      <c r="G12" s="58">
        <f>SUM('By Lot - West Campus'!I339:I344,'By Lot - West Campus'!I356:I361,'By Lot - West Campus'!I373:I378)</f>
        <v>0</v>
      </c>
      <c r="H12" s="58">
        <f>SUM('By Lot - West Campus'!J339:J344,'By Lot - West Campus'!J356:J361,'By Lot - West Campus'!J373:J378)</f>
        <v>0</v>
      </c>
      <c r="I12" s="58">
        <f>SUM('By Lot - West Campus'!K339:K344,'By Lot - West Campus'!K356:K361,'By Lot - West Campus'!K373:K378)</f>
        <v>0</v>
      </c>
      <c r="J12" s="58">
        <f>SUM('By Lot - West Campus'!L339:L344,'By Lot - West Campus'!L356:L361,'By Lot - West Campus'!L373:L378)</f>
        <v>0</v>
      </c>
      <c r="K12" s="58">
        <f>SUM('By Lot - West Campus'!M339:M344,'By Lot - West Campus'!M356:M361,'By Lot - West Campus'!M373:M378)</f>
        <v>4</v>
      </c>
      <c r="L12" s="58">
        <f>SUM('By Lot - West Campus'!N339:N344,'By Lot - West Campus'!N356:N361,'By Lot - West Campus'!N373:N378)</f>
        <v>2</v>
      </c>
      <c r="M12" s="58">
        <f>SUM('By Lot - West Campus'!O339:O344,'By Lot - West Campus'!O356:O361,'By Lot - West Campus'!O373:O378)</f>
        <v>4</v>
      </c>
      <c r="N12" s="54">
        <f t="shared" si="0"/>
        <v>0</v>
      </c>
      <c r="O12" s="58">
        <f t="shared" si="1"/>
        <v>20</v>
      </c>
      <c r="P12" s="59">
        <f t="shared" si="2"/>
        <v>1</v>
      </c>
      <c r="Q12" s="6"/>
    </row>
    <row r="13" spans="1:17" ht="11.25" customHeight="1" outlineLevel="1" x14ac:dyDescent="0.4">
      <c r="A13" s="17" t="s">
        <v>542</v>
      </c>
      <c r="B13" s="17" t="s">
        <v>310</v>
      </c>
      <c r="C13" s="17">
        <f>SUM('By Lot - West Campus'!E345,'By Lot - West Campus'!E362,'By Lot - West Campus'!E379)</f>
        <v>65</v>
      </c>
      <c r="D13" s="54">
        <f>SUM('By Lot - West Campus'!F345,'By Lot - West Campus'!F362,'By Lot - West Campus'!F379)</f>
        <v>44</v>
      </c>
      <c r="E13" s="58">
        <f>SUM('By Lot - West Campus'!G345,'By Lot - West Campus'!G362,'By Lot - West Campus'!G379)</f>
        <v>41</v>
      </c>
      <c r="F13" s="58">
        <f>SUM('By Lot - West Campus'!H345,'By Lot - West Campus'!H362,'By Lot - West Campus'!H379)</f>
        <v>39</v>
      </c>
      <c r="G13" s="58">
        <f>SUM('By Lot - West Campus'!I345,'By Lot - West Campus'!I362,'By Lot - West Campus'!I379)</f>
        <v>38</v>
      </c>
      <c r="H13" s="58">
        <f>SUM('By Lot - West Campus'!J345,'By Lot - West Campus'!J362,'By Lot - West Campus'!J379)</f>
        <v>36</v>
      </c>
      <c r="I13" s="58">
        <f>SUM('By Lot - West Campus'!K345,'By Lot - West Campus'!K362,'By Lot - West Campus'!K379)</f>
        <v>37</v>
      </c>
      <c r="J13" s="58">
        <f>SUM('By Lot - West Campus'!L345,'By Lot - West Campus'!L362,'By Lot - West Campus'!L379)</f>
        <v>31</v>
      </c>
      <c r="K13" s="58">
        <f>SUM('By Lot - West Campus'!M345,'By Lot - West Campus'!M362,'By Lot - West Campus'!M379)</f>
        <v>33</v>
      </c>
      <c r="L13" s="58">
        <f>SUM('By Lot - West Campus'!N345,'By Lot - West Campus'!N362,'By Lot - West Campus'!N379)</f>
        <v>34</v>
      </c>
      <c r="M13" s="58">
        <f>SUM('By Lot - West Campus'!O345,'By Lot - West Campus'!O362,'By Lot - West Campus'!O379)</f>
        <v>40</v>
      </c>
      <c r="N13" s="54">
        <f t="shared" si="0"/>
        <v>31</v>
      </c>
      <c r="O13" s="58">
        <f t="shared" si="1"/>
        <v>34</v>
      </c>
      <c r="P13" s="59">
        <f t="shared" si="2"/>
        <v>0.52307692307692311</v>
      </c>
      <c r="Q13" s="6"/>
    </row>
    <row r="14" spans="1:17" ht="11.25" customHeight="1" outlineLevel="1" x14ac:dyDescent="0.4">
      <c r="A14" s="17" t="s">
        <v>543</v>
      </c>
      <c r="B14" s="17" t="s">
        <v>311</v>
      </c>
      <c r="C14" s="130">
        <f>SUM('By Lot - West Campus'!E346,'By Lot - West Campus'!E363,'By Lot - West Campus'!E380)</f>
        <v>0</v>
      </c>
      <c r="D14" s="32"/>
      <c r="E14" s="6"/>
      <c r="F14" s="6"/>
      <c r="G14" s="6"/>
      <c r="H14" s="6"/>
      <c r="I14" s="6"/>
      <c r="J14" s="6"/>
      <c r="K14" s="6"/>
      <c r="L14" s="6"/>
      <c r="M14" s="31"/>
      <c r="N14" s="32"/>
      <c r="O14" s="6"/>
      <c r="P14" s="59"/>
      <c r="Q14" s="6"/>
    </row>
    <row r="15" spans="1:17" ht="11.25" customHeight="1" outlineLevel="1" x14ac:dyDescent="0.4">
      <c r="A15" s="17"/>
      <c r="B15" s="17" t="s">
        <v>312</v>
      </c>
      <c r="C15" s="130">
        <f>SUM('By Lot - West Campus'!E347,'By Lot - West Campus'!E364,'By Lot - West Campus'!E381)</f>
        <v>4</v>
      </c>
      <c r="D15" s="32"/>
      <c r="E15" s="6"/>
      <c r="F15" s="6"/>
      <c r="G15" s="6"/>
      <c r="H15" s="6"/>
      <c r="I15" s="6"/>
      <c r="J15" s="6"/>
      <c r="K15" s="6"/>
      <c r="L15" s="6"/>
      <c r="M15" s="31"/>
      <c r="N15" s="32"/>
      <c r="O15" s="6"/>
      <c r="P15" s="59"/>
      <c r="Q15" s="6"/>
    </row>
    <row r="16" spans="1:17" ht="11.25" customHeight="1" outlineLevel="1" x14ac:dyDescent="0.4">
      <c r="A16" s="17"/>
      <c r="B16" s="17" t="s">
        <v>313</v>
      </c>
      <c r="C16" s="130">
        <f>SUM('By Lot - West Campus'!E348,'By Lot - West Campus'!E365,'By Lot - West Campus'!E382)</f>
        <v>0</v>
      </c>
      <c r="D16" s="32"/>
      <c r="E16" s="6"/>
      <c r="F16" s="6"/>
      <c r="G16" s="6"/>
      <c r="H16" s="6"/>
      <c r="I16" s="6"/>
      <c r="J16" s="6"/>
      <c r="K16" s="6"/>
      <c r="L16" s="6"/>
      <c r="M16" s="31"/>
      <c r="N16" s="32"/>
      <c r="O16" s="6"/>
      <c r="P16" s="59"/>
      <c r="Q16" s="6"/>
    </row>
    <row r="17" spans="1:26" ht="11.25" customHeight="1" x14ac:dyDescent="0.4">
      <c r="A17" s="34"/>
      <c r="B17" s="65" t="s">
        <v>314</v>
      </c>
      <c r="C17" s="65">
        <f t="shared" ref="C17:M17" si="3">SUM(C7:C16)</f>
        <v>1043</v>
      </c>
      <c r="D17" s="70">
        <f t="shared" si="3"/>
        <v>279</v>
      </c>
      <c r="E17" s="71">
        <f t="shared" si="3"/>
        <v>161</v>
      </c>
      <c r="F17" s="71">
        <f t="shared" si="3"/>
        <v>63</v>
      </c>
      <c r="G17" s="71">
        <f t="shared" si="3"/>
        <v>48</v>
      </c>
      <c r="H17" s="71">
        <f t="shared" si="3"/>
        <v>42</v>
      </c>
      <c r="I17" s="71">
        <f t="shared" si="3"/>
        <v>48</v>
      </c>
      <c r="J17" s="71">
        <f t="shared" si="3"/>
        <v>47</v>
      </c>
      <c r="K17" s="71">
        <f t="shared" si="3"/>
        <v>84</v>
      </c>
      <c r="L17" s="71">
        <f t="shared" si="3"/>
        <v>186</v>
      </c>
      <c r="M17" s="71">
        <f t="shared" si="3"/>
        <v>288</v>
      </c>
      <c r="N17" s="70">
        <f t="shared" ref="N17:N26" si="4">MIN(D17:M17)</f>
        <v>42</v>
      </c>
      <c r="O17" s="71">
        <f t="shared" ref="O17:O26" si="5">C17-N17</f>
        <v>1001</v>
      </c>
      <c r="P17" s="72">
        <f t="shared" ref="P17:P26" si="6">O17/C17</f>
        <v>0.95973154362416102</v>
      </c>
      <c r="Q17" s="6"/>
    </row>
    <row r="18" spans="1:26" ht="11.25" customHeight="1" outlineLevel="1" x14ac:dyDescent="0.4">
      <c r="A18" s="15" t="s">
        <v>241</v>
      </c>
      <c r="B18" s="17" t="s">
        <v>300</v>
      </c>
      <c r="C18" s="17">
        <f>SUM('By Lot - West Campus'!E503,'By Lot - West Campus'!E521,'By Lot - West Campus'!E537,'By Lot - West Campus'!E554,'By Lot - West Campus'!E571,'By Lot - West Campus'!E588,'By Lot - West Campus'!E605)</f>
        <v>233</v>
      </c>
      <c r="D18" s="32">
        <f>SUM('By Lot - West Campus'!F503,'By Lot - West Campus'!F521,'By Lot - West Campus'!F537,'By Lot - West Campus'!F554,'By Lot - West Campus'!F571,'By Lot - West Campus'!F588,'By Lot - West Campus'!F605)</f>
        <v>160</v>
      </c>
      <c r="E18" s="6">
        <f>SUM('By Lot - West Campus'!G503,'By Lot - West Campus'!G521,'By Lot - West Campus'!G537,'By Lot - West Campus'!G554,'By Lot - West Campus'!G571,'By Lot - West Campus'!G588,'By Lot - West Campus'!G605)</f>
        <v>133</v>
      </c>
      <c r="F18" s="6">
        <f>SUM('By Lot - West Campus'!H503,'By Lot - West Campus'!H521,'By Lot - West Campus'!H537,'By Lot - West Campus'!H554,'By Lot - West Campus'!H571,'By Lot - West Campus'!H588,'By Lot - West Campus'!H605)</f>
        <v>112</v>
      </c>
      <c r="G18" s="6">
        <f>SUM('By Lot - West Campus'!I503,'By Lot - West Campus'!I521,'By Lot - West Campus'!I537,'By Lot - West Campus'!I554,'By Lot - West Campus'!I571,'By Lot - West Campus'!I588,'By Lot - West Campus'!I605)</f>
        <v>90</v>
      </c>
      <c r="H18" s="6">
        <f>SUM('By Lot - West Campus'!J503,'By Lot - West Campus'!J521,'By Lot - West Campus'!J537,'By Lot - West Campus'!J554,'By Lot - West Campus'!J571,'By Lot - West Campus'!J588,'By Lot - West Campus'!J605)</f>
        <v>40</v>
      </c>
      <c r="I18" s="6">
        <f>SUM('By Lot - West Campus'!K503,'By Lot - West Campus'!K521,'By Lot - West Campus'!K537,'By Lot - West Campus'!K554,'By Lot - West Campus'!K571,'By Lot - West Campus'!K588,'By Lot - West Campus'!K605)</f>
        <v>43</v>
      </c>
      <c r="J18" s="6">
        <f>SUM('By Lot - West Campus'!L503,'By Lot - West Campus'!L521,'By Lot - West Campus'!L537,'By Lot - West Campus'!L554,'By Lot - West Campus'!L571,'By Lot - West Campus'!L588,'By Lot - West Campus'!L605)</f>
        <v>53</v>
      </c>
      <c r="K18" s="6">
        <f>SUM('By Lot - West Campus'!M503,'By Lot - West Campus'!M521,'By Lot - West Campus'!M537,'By Lot - West Campus'!M554,'By Lot - West Campus'!M571,'By Lot - West Campus'!M588,'By Lot - West Campus'!M605)</f>
        <v>124</v>
      </c>
      <c r="L18" s="6">
        <f>SUM('By Lot - West Campus'!N503,'By Lot - West Campus'!N521,'By Lot - West Campus'!N537,'By Lot - West Campus'!N554,'By Lot - West Campus'!N571,'By Lot - West Campus'!N588,'By Lot - West Campus'!N605)</f>
        <v>163</v>
      </c>
      <c r="M18" s="31">
        <f>SUM('By Lot - West Campus'!O503,'By Lot - West Campus'!O521,'By Lot - West Campus'!O537,'By Lot - West Campus'!O554,'By Lot - West Campus'!O571,'By Lot - West Campus'!O588,'By Lot - West Campus'!O605)</f>
        <v>198</v>
      </c>
      <c r="N18" s="32">
        <f t="shared" si="4"/>
        <v>40</v>
      </c>
      <c r="O18" s="6">
        <f t="shared" si="5"/>
        <v>193</v>
      </c>
      <c r="P18" s="59">
        <f t="shared" si="6"/>
        <v>0.8283261802575107</v>
      </c>
      <c r="Q18" s="6"/>
    </row>
    <row r="19" spans="1:26" ht="11.25" customHeight="1" outlineLevel="1" x14ac:dyDescent="0.4">
      <c r="A19" s="17" t="s">
        <v>250</v>
      </c>
      <c r="B19" s="17" t="s">
        <v>301</v>
      </c>
      <c r="C19" s="17">
        <f>SUM('By Lot - West Campus'!E504,'By Lot - West Campus'!E522,'By Lot - West Campus'!E538,'By Lot - West Campus'!E555,'By Lot - West Campus'!E572,'By Lot - West Campus'!E589,'By Lot - West Campus'!E606)</f>
        <v>603</v>
      </c>
      <c r="D19" s="32">
        <f>SUM('By Lot - West Campus'!F504,'By Lot - West Campus'!F522,'By Lot - West Campus'!F538,'By Lot - West Campus'!F555,'By Lot - West Campus'!F572,'By Lot - West Campus'!F589,'By Lot - West Campus'!F606)</f>
        <v>480</v>
      </c>
      <c r="E19" s="6">
        <f>SUM('By Lot - West Campus'!G504,'By Lot - West Campus'!G522,'By Lot - West Campus'!G538,'By Lot - West Campus'!G555,'By Lot - West Campus'!G572,'By Lot - West Campus'!G589,'By Lot - West Campus'!G606)</f>
        <v>451</v>
      </c>
      <c r="F19" s="6">
        <f>SUM('By Lot - West Campus'!H504,'By Lot - West Campus'!H522,'By Lot - West Campus'!H538,'By Lot - West Campus'!H555,'By Lot - West Campus'!H572,'By Lot - West Campus'!H589,'By Lot - West Campus'!H606)</f>
        <v>125</v>
      </c>
      <c r="G19" s="6">
        <f>SUM('By Lot - West Campus'!I504,'By Lot - West Campus'!I522,'By Lot - West Campus'!I538,'By Lot - West Campus'!I555,'By Lot - West Campus'!I572,'By Lot - West Campus'!I589,'By Lot - West Campus'!I606)</f>
        <v>6</v>
      </c>
      <c r="H19" s="6">
        <f>SUM('By Lot - West Campus'!J504,'By Lot - West Campus'!J522,'By Lot - West Campus'!J538,'By Lot - West Campus'!J555,'By Lot - West Campus'!J572,'By Lot - West Campus'!J589,'By Lot - West Campus'!J606)</f>
        <v>9</v>
      </c>
      <c r="I19" s="6">
        <f>SUM('By Lot - West Campus'!K504,'By Lot - West Campus'!K522,'By Lot - West Campus'!K538,'By Lot - West Campus'!K555,'By Lot - West Campus'!K572,'By Lot - West Campus'!K589,'By Lot - West Campus'!K606)</f>
        <v>1</v>
      </c>
      <c r="J19" s="6">
        <f>SUM('By Lot - West Campus'!L504,'By Lot - West Campus'!L522,'By Lot - West Campus'!L538,'By Lot - West Campus'!L555,'By Lot - West Campus'!L572,'By Lot - West Campus'!L589,'By Lot - West Campus'!L606)</f>
        <v>19</v>
      </c>
      <c r="K19" s="6">
        <f>SUM('By Lot - West Campus'!M504,'By Lot - West Campus'!M522,'By Lot - West Campus'!M538,'By Lot - West Campus'!M555,'By Lot - West Campus'!M572,'By Lot - West Campus'!M589,'By Lot - West Campus'!M606)</f>
        <v>249</v>
      </c>
      <c r="L19" s="6">
        <f>SUM('By Lot - West Campus'!N504,'By Lot - West Campus'!N522,'By Lot - West Campus'!N538,'By Lot - West Campus'!N555,'By Lot - West Campus'!N572,'By Lot - West Campus'!N589,'By Lot - West Campus'!N606)</f>
        <v>462</v>
      </c>
      <c r="M19" s="31">
        <f>SUM('By Lot - West Campus'!O504,'By Lot - West Campus'!O522,'By Lot - West Campus'!O538,'By Lot - West Campus'!O555,'By Lot - West Campus'!O572,'By Lot - West Campus'!O589,'By Lot - West Campus'!O606)</f>
        <v>502</v>
      </c>
      <c r="N19" s="32">
        <f t="shared" si="4"/>
        <v>1</v>
      </c>
      <c r="O19" s="6">
        <f t="shared" si="5"/>
        <v>602</v>
      </c>
      <c r="P19" s="59">
        <f t="shared" si="6"/>
        <v>0.99834162520729686</v>
      </c>
      <c r="Q19" s="6"/>
    </row>
    <row r="20" spans="1:26" ht="11.25" customHeight="1" outlineLevel="1" x14ac:dyDescent="0.4">
      <c r="A20" s="17"/>
      <c r="B20" s="17" t="s">
        <v>303</v>
      </c>
      <c r="C20" s="17">
        <f>SUM('By Lot - West Campus'!E505,'By Lot - West Campus'!E523,'By Lot - West Campus'!E539,'By Lot - West Campus'!E556,'By Lot - West Campus'!E573,'By Lot - West Campus'!E590,'By Lot - West Campus'!E607)</f>
        <v>100</v>
      </c>
      <c r="D20" s="32">
        <f>SUM('By Lot - West Campus'!F505,'By Lot - West Campus'!F523,'By Lot - West Campus'!F539,'By Lot - West Campus'!F556,'By Lot - West Campus'!F573,'By Lot - West Campus'!F590,'By Lot - West Campus'!F607)</f>
        <v>1</v>
      </c>
      <c r="E20" s="6">
        <f>SUM('By Lot - West Campus'!G505,'By Lot - West Campus'!G523,'By Lot - West Campus'!G539,'By Lot - West Campus'!G556,'By Lot - West Campus'!G573,'By Lot - West Campus'!G590,'By Lot - West Campus'!G607)</f>
        <v>0</v>
      </c>
      <c r="F20" s="6">
        <f>SUM('By Lot - West Campus'!H505,'By Lot - West Campus'!H523,'By Lot - West Campus'!H539,'By Lot - West Campus'!H556,'By Lot - West Campus'!H573,'By Lot - West Campus'!H590,'By Lot - West Campus'!H607)</f>
        <v>0</v>
      </c>
      <c r="G20" s="6">
        <f>SUM('By Lot - West Campus'!I505,'By Lot - West Campus'!I523,'By Lot - West Campus'!I539,'By Lot - West Campus'!I556,'By Lot - West Campus'!I573,'By Lot - West Campus'!I590,'By Lot - West Campus'!I607)</f>
        <v>0</v>
      </c>
      <c r="H20" s="6">
        <f>SUM('By Lot - West Campus'!J505,'By Lot - West Campus'!J523,'By Lot - West Campus'!J539,'By Lot - West Campus'!J556,'By Lot - West Campus'!J573,'By Lot - West Campus'!J590,'By Lot - West Campus'!J607)</f>
        <v>0</v>
      </c>
      <c r="I20" s="58">
        <f>SUM('By Lot - West Campus'!K505,'By Lot - West Campus'!K523,'By Lot - West Campus'!K539,'By Lot - West Campus'!K556,'By Lot - West Campus'!K573,'By Lot - West Campus'!K590,'By Lot - West Campus'!K607)</f>
        <v>0</v>
      </c>
      <c r="J20" s="58">
        <f>SUM('By Lot - West Campus'!L505,'By Lot - West Campus'!L523,'By Lot - West Campus'!L539,'By Lot - West Campus'!L556,'By Lot - West Campus'!L573,'By Lot - West Campus'!L590,'By Lot - West Campus'!L607)</f>
        <v>0</v>
      </c>
      <c r="K20" s="58">
        <f>SUM('By Lot - West Campus'!M505,'By Lot - West Campus'!M523,'By Lot - West Campus'!M539,'By Lot - West Campus'!M556,'By Lot - West Campus'!M573,'By Lot - West Campus'!M590,'By Lot - West Campus'!M607)</f>
        <v>0</v>
      </c>
      <c r="L20" s="58">
        <f>SUM('By Lot - West Campus'!N505,'By Lot - West Campus'!N523,'By Lot - West Campus'!N539,'By Lot - West Campus'!N556,'By Lot - West Campus'!N573,'By Lot - West Campus'!N590,'By Lot - West Campus'!N607)</f>
        <v>3</v>
      </c>
      <c r="M20" s="60">
        <f>SUM('By Lot - West Campus'!O505,'By Lot - West Campus'!O523,'By Lot - West Campus'!O539,'By Lot - West Campus'!O556,'By Lot - West Campus'!O573,'By Lot - West Campus'!O590,'By Lot - West Campus'!O607)</f>
        <v>6</v>
      </c>
      <c r="N20" s="32">
        <f t="shared" si="4"/>
        <v>0</v>
      </c>
      <c r="O20" s="6">
        <f t="shared" si="5"/>
        <v>100</v>
      </c>
      <c r="P20" s="59">
        <f t="shared" si="6"/>
        <v>1</v>
      </c>
      <c r="Q20" s="6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outlineLevel="1" x14ac:dyDescent="0.4">
      <c r="A21" s="17"/>
      <c r="B21" s="17" t="s">
        <v>305</v>
      </c>
      <c r="C21" s="32">
        <f>SUM('By Lot - West Campus'!E506)</f>
        <v>228</v>
      </c>
      <c r="D21" s="32">
        <f>SUM('By Lot - West Campus'!F506)</f>
        <v>0</v>
      </c>
      <c r="E21" s="6">
        <f>SUM('By Lot - West Campus'!G506)</f>
        <v>0</v>
      </c>
      <c r="F21" s="6">
        <f>SUM('By Lot - West Campus'!H506)</f>
        <v>0</v>
      </c>
      <c r="G21" s="6">
        <f>SUM('By Lot - West Campus'!I506)</f>
        <v>0</v>
      </c>
      <c r="H21" s="6">
        <f>SUM('By Lot - West Campus'!J506)</f>
        <v>0</v>
      </c>
      <c r="I21" s="58">
        <f>SUM('By Lot - West Campus'!K506)</f>
        <v>0</v>
      </c>
      <c r="J21" s="58">
        <f>SUM('By Lot - West Campus'!L506)</f>
        <v>0</v>
      </c>
      <c r="K21" s="58">
        <f>SUM('By Lot - West Campus'!M506)</f>
        <v>3</v>
      </c>
      <c r="L21" s="58">
        <f>SUM('By Lot - West Campus'!N506)</f>
        <v>1</v>
      </c>
      <c r="M21" s="60">
        <f>SUM('By Lot - West Campus'!O506)</f>
        <v>0</v>
      </c>
      <c r="N21" s="6">
        <f t="shared" si="4"/>
        <v>0</v>
      </c>
      <c r="O21" s="6">
        <f t="shared" si="5"/>
        <v>228</v>
      </c>
      <c r="P21" s="59">
        <f t="shared" si="6"/>
        <v>1</v>
      </c>
      <c r="Q21" s="6"/>
    </row>
    <row r="22" spans="1:26" ht="11.25" customHeight="1" outlineLevel="1" x14ac:dyDescent="0.4">
      <c r="A22" s="158" t="s">
        <v>338</v>
      </c>
      <c r="B22" s="17" t="s">
        <v>307</v>
      </c>
      <c r="C22" s="17">
        <f>SUM('By Lot - West Campus'!E507:E508,'By Lot - West Campus'!E524:E525,'By Lot - West Campus'!E540:E541,'By Lot - West Campus'!E557:E558,'By Lot - West Campus'!E574:E575,'By Lot - West Campus'!E591:E592,'By Lot - West Campus'!E608:E609)</f>
        <v>90</v>
      </c>
      <c r="D22" s="32">
        <f>SUM('By Lot - West Campus'!F507:F508,'By Lot - West Campus'!F524:F525,'By Lot - West Campus'!F540:F541,'By Lot - West Campus'!F557:F558,'By Lot - West Campus'!F574:F575,'By Lot - West Campus'!F591:F592,'By Lot - West Campus'!F608:F609)</f>
        <v>74</v>
      </c>
      <c r="E22" s="6">
        <f>SUM('By Lot - West Campus'!G507:G508,'By Lot - West Campus'!G524:G525,'By Lot - West Campus'!G540:G541,'By Lot - West Campus'!G557:G558,'By Lot - West Campus'!G574:G575,'By Lot - West Campus'!G591:G592,'By Lot - West Campus'!G608:G609)</f>
        <v>59</v>
      </c>
      <c r="F22" s="6">
        <f>SUM('By Lot - West Campus'!H507:H508,'By Lot - West Campus'!H524:H525,'By Lot - West Campus'!H540:H541,'By Lot - West Campus'!H557:H558,'By Lot - West Campus'!H574:H575,'By Lot - West Campus'!H591:H592,'By Lot - West Campus'!H608:H609)</f>
        <v>0</v>
      </c>
      <c r="G22" s="6">
        <f>SUM('By Lot - West Campus'!I507:I508,'By Lot - West Campus'!I524:I525,'By Lot - West Campus'!I540:I541,'By Lot - West Campus'!I557:I558,'By Lot - West Campus'!I574:I575,'By Lot - West Campus'!I591:I592,'By Lot - West Campus'!I608:I609)</f>
        <v>0</v>
      </c>
      <c r="H22" s="6">
        <f>SUM('By Lot - West Campus'!J507:J508,'By Lot - West Campus'!J524:J525,'By Lot - West Campus'!J540:J541,'By Lot - West Campus'!J557:J558,'By Lot - West Campus'!J574:J575,'By Lot - West Campus'!J591:J592,'By Lot - West Campus'!J608:J609)</f>
        <v>0</v>
      </c>
      <c r="I22" s="58">
        <f>SUM('By Lot - West Campus'!K507:K508,'By Lot - West Campus'!K524:K525,'By Lot - West Campus'!K540:K541,'By Lot - West Campus'!K557:K558,'By Lot - West Campus'!K574:K575,'By Lot - West Campus'!K591:K592,'By Lot - West Campus'!K608:K609)</f>
        <v>0</v>
      </c>
      <c r="J22" s="58">
        <f>SUM('By Lot - West Campus'!L507:L508,'By Lot - West Campus'!L524:L525,'By Lot - West Campus'!L540:L541,'By Lot - West Campus'!L557:L558,'By Lot - West Campus'!L574:L575,'By Lot - West Campus'!L591:L592,'By Lot - West Campus'!L608:L609)</f>
        <v>0</v>
      </c>
      <c r="K22" s="58">
        <f>SUM('By Lot - West Campus'!M507:M508,'By Lot - West Campus'!M524:M525,'By Lot - West Campus'!M540:M541,'By Lot - West Campus'!M557:M558,'By Lot - West Campus'!M574:M575,'By Lot - West Campus'!M591:M592,'By Lot - West Campus'!M608:M609)</f>
        <v>0</v>
      </c>
      <c r="L22" s="58">
        <f>SUM('By Lot - West Campus'!N507:N508,'By Lot - West Campus'!N524:N525,'By Lot - West Campus'!N540:N541,'By Lot - West Campus'!N557:N558,'By Lot - West Campus'!N574:N575,'By Lot - West Campus'!N591:N592,'By Lot - West Campus'!N608:N609)</f>
        <v>6</v>
      </c>
      <c r="M22" s="60">
        <f>SUM('By Lot - West Campus'!O507:O508,'By Lot - West Campus'!O524:O525,'By Lot - West Campus'!O540:O541,'By Lot - West Campus'!O557:O558,'By Lot - West Campus'!O574:O575,'By Lot - West Campus'!O591:O592,'By Lot - West Campus'!O608:O609)</f>
        <v>64</v>
      </c>
      <c r="N22" s="32">
        <f t="shared" si="4"/>
        <v>0</v>
      </c>
      <c r="O22" s="6">
        <f t="shared" si="5"/>
        <v>90</v>
      </c>
      <c r="P22" s="59">
        <f t="shared" si="6"/>
        <v>1</v>
      </c>
      <c r="Q22" s="6"/>
    </row>
    <row r="23" spans="1:26" ht="11.25" customHeight="1" outlineLevel="1" x14ac:dyDescent="0.4">
      <c r="A23" s="158" t="s">
        <v>339</v>
      </c>
      <c r="B23" s="17" t="s">
        <v>308</v>
      </c>
      <c r="C23" s="17">
        <f>SUM('By Lot - West Campus'!E509,'By Lot - West Campus'!E526,'By Lot - West Campus'!E542,'By Lot - West Campus'!E559,'By Lot - West Campus'!E576,'By Lot - West Campus'!E593,'By Lot - West Campus'!E610)</f>
        <v>14</v>
      </c>
      <c r="D23" s="32">
        <f>SUM('By Lot - West Campus'!F509,'By Lot - West Campus'!F526,'By Lot - West Campus'!F542,'By Lot - West Campus'!F559,'By Lot - West Campus'!F576,'By Lot - West Campus'!F593,'By Lot - West Campus'!F610)</f>
        <v>12</v>
      </c>
      <c r="E23" s="6">
        <f>SUM('By Lot - West Campus'!G509,'By Lot - West Campus'!G526,'By Lot - West Campus'!G542,'By Lot - West Campus'!G559,'By Lot - West Campus'!G576,'By Lot - West Campus'!G593,'By Lot - West Campus'!G610)</f>
        <v>11</v>
      </c>
      <c r="F23" s="6">
        <f>SUM('By Lot - West Campus'!H509,'By Lot - West Campus'!H526,'By Lot - West Campus'!H542,'By Lot - West Campus'!H559,'By Lot - West Campus'!H576,'By Lot - West Campus'!H593,'By Lot - West Campus'!H610)</f>
        <v>11</v>
      </c>
      <c r="G23" s="6">
        <f>SUM('By Lot - West Campus'!I509,'By Lot - West Campus'!I526,'By Lot - West Campus'!I542,'By Lot - West Campus'!I559,'By Lot - West Campus'!I576,'By Lot - West Campus'!I593,'By Lot - West Campus'!I610)</f>
        <v>10</v>
      </c>
      <c r="H23" s="6">
        <f>SUM('By Lot - West Campus'!J509,'By Lot - West Campus'!J526,'By Lot - West Campus'!J542,'By Lot - West Campus'!J559,'By Lot - West Campus'!J576,'By Lot - West Campus'!J593,'By Lot - West Campus'!J610)</f>
        <v>10</v>
      </c>
      <c r="I23" s="58">
        <f>SUM('By Lot - West Campus'!K509,'By Lot - West Campus'!K526,'By Lot - West Campus'!K542,'By Lot - West Campus'!K559,'By Lot - West Campus'!K576,'By Lot - West Campus'!K593,'By Lot - West Campus'!K610)</f>
        <v>10</v>
      </c>
      <c r="J23" s="58">
        <f>SUM('By Lot - West Campus'!L509,'By Lot - West Campus'!L526,'By Lot - West Campus'!L542,'By Lot - West Campus'!L559,'By Lot - West Campus'!L576,'By Lot - West Campus'!L593,'By Lot - West Campus'!L610)</f>
        <v>10</v>
      </c>
      <c r="K23" s="58">
        <f>SUM('By Lot - West Campus'!M509,'By Lot - West Campus'!M526,'By Lot - West Campus'!M542,'By Lot - West Campus'!M559,'By Lot - West Campus'!M576,'By Lot - West Campus'!M593,'By Lot - West Campus'!M610)</f>
        <v>12</v>
      </c>
      <c r="L23" s="58">
        <f>SUM('By Lot - West Campus'!N509,'By Lot - West Campus'!N526,'By Lot - West Campus'!N542,'By Lot - West Campus'!N559,'By Lot - West Campus'!N576,'By Lot - West Campus'!N593,'By Lot - West Campus'!N610)</f>
        <v>13</v>
      </c>
      <c r="M23" s="60">
        <f>SUM('By Lot - West Campus'!O509,'By Lot - West Campus'!O526,'By Lot - West Campus'!O542,'By Lot - West Campus'!O559,'By Lot - West Campus'!O576,'By Lot - West Campus'!O593,'By Lot - West Campus'!O610)</f>
        <v>13</v>
      </c>
      <c r="N23" s="32">
        <f t="shared" si="4"/>
        <v>10</v>
      </c>
      <c r="O23" s="6">
        <f t="shared" si="5"/>
        <v>4</v>
      </c>
      <c r="P23" s="59">
        <f t="shared" si="6"/>
        <v>0.2857142857142857</v>
      </c>
      <c r="Q23" s="6"/>
    </row>
    <row r="24" spans="1:26" ht="11.25" customHeight="1" outlineLevel="1" x14ac:dyDescent="0.4">
      <c r="A24" s="158" t="s">
        <v>340</v>
      </c>
      <c r="B24" s="17" t="s">
        <v>309</v>
      </c>
      <c r="C24" s="17">
        <f>SUM('By Lot - West Campus'!E510:E515,'By Lot - West Campus'!E527:E531,'By Lot - West Campus'!E543:E548,'By Lot - West Campus'!E560:E565,'By Lot - West Campus'!E577:E582,'By Lot - West Campus'!E594:E599,'By Lot - West Campus'!E611:E616)</f>
        <v>103</v>
      </c>
      <c r="D24" s="32">
        <f>SUM('By Lot - West Campus'!F510:F515,'By Lot - West Campus'!F527:F531,'By Lot - West Campus'!F543:F548,'By Lot - West Campus'!F560:F565,'By Lot - West Campus'!F577:F582,'By Lot - West Campus'!F594:F599,'By Lot - West Campus'!F611:F616)</f>
        <v>59</v>
      </c>
      <c r="E24" s="6">
        <f>SUM('By Lot - West Campus'!G510:G515,'By Lot - West Campus'!G527:G531,'By Lot - West Campus'!G543:G548,'By Lot - West Campus'!G560:G565,'By Lot - West Campus'!G577:G582,'By Lot - West Campus'!G594:G599,'By Lot - West Campus'!G611:G616)</f>
        <v>65</v>
      </c>
      <c r="F24" s="6">
        <f>SUM('By Lot - West Campus'!H510:H515,'By Lot - West Campus'!H527:H531,'By Lot - West Campus'!H543:H548,'By Lot - West Campus'!H560:H565,'By Lot - West Campus'!H577:H582,'By Lot - West Campus'!H594:H599,'By Lot - West Campus'!H611:H616)</f>
        <v>12</v>
      </c>
      <c r="G24" s="6">
        <f>SUM('By Lot - West Campus'!I510:I515,'By Lot - West Campus'!I527:I531,'By Lot - West Campus'!I543:I548,'By Lot - West Campus'!I560:I565,'By Lot - West Campus'!I577:I582,'By Lot - West Campus'!I594:I599,'By Lot - West Campus'!I611:I616)</f>
        <v>8</v>
      </c>
      <c r="H24" s="6">
        <f>SUM('By Lot - West Campus'!J510:J515,'By Lot - West Campus'!J527:J531,'By Lot - West Campus'!J543:J548,'By Lot - West Campus'!J560:J565,'By Lot - West Campus'!J577:J582,'By Lot - West Campus'!J594:J599,'By Lot - West Campus'!J611:J616)</f>
        <v>6</v>
      </c>
      <c r="I24" s="58">
        <f>SUM('By Lot - West Campus'!K510:K515,'By Lot - West Campus'!K527:K531,'By Lot - West Campus'!K543:K548,'By Lot - West Campus'!K560:K565,'By Lot - West Campus'!K577:K582,'By Lot - West Campus'!K594:K599,'By Lot - West Campus'!K611:K616)</f>
        <v>2</v>
      </c>
      <c r="J24" s="58">
        <f>SUM('By Lot - West Campus'!L510:L515,'By Lot - West Campus'!L527:L531,'By Lot - West Campus'!L543:L548,'By Lot - West Campus'!L560:L565,'By Lot - West Campus'!L577:L582,'By Lot - West Campus'!L594:L599,'By Lot - West Campus'!L611:L616)</f>
        <v>3</v>
      </c>
      <c r="K24" s="58">
        <f>SUM('By Lot - West Campus'!M510:M515,'By Lot - West Campus'!M527:M531,'By Lot - West Campus'!M543:M548,'By Lot - West Campus'!M560:M565,'By Lot - West Campus'!M577:M582,'By Lot - West Campus'!M594:M599,'By Lot - West Campus'!M611:M616)</f>
        <v>11</v>
      </c>
      <c r="L24" s="58">
        <f>SUM('By Lot - West Campus'!N510:N515,'By Lot - West Campus'!N527:N531,'By Lot - West Campus'!N543:N548,'By Lot - West Campus'!N560:N565,'By Lot - West Campus'!N577:N582,'By Lot - West Campus'!N594:N599,'By Lot - West Campus'!N611:N616)</f>
        <v>29</v>
      </c>
      <c r="M24" s="60">
        <f>SUM('By Lot - West Campus'!O510:O515,'By Lot - West Campus'!O527:O531,'By Lot - West Campus'!O543:O548,'By Lot - West Campus'!O560:O565,'By Lot - West Campus'!O577:O582,'By Lot - West Campus'!O594:O599,'By Lot - West Campus'!O611:O616)</f>
        <v>44</v>
      </c>
      <c r="N24" s="32">
        <f t="shared" si="4"/>
        <v>2</v>
      </c>
      <c r="O24" s="6">
        <f t="shared" si="5"/>
        <v>101</v>
      </c>
      <c r="P24" s="59">
        <f t="shared" si="6"/>
        <v>0.98058252427184467</v>
      </c>
      <c r="Q24" s="6"/>
    </row>
    <row r="25" spans="1:26" ht="11.25" customHeight="1" outlineLevel="1" x14ac:dyDescent="0.4">
      <c r="A25" s="158" t="s">
        <v>341</v>
      </c>
      <c r="B25" s="17" t="s">
        <v>310</v>
      </c>
      <c r="C25" s="17">
        <f>SUM('By Lot - West Campus'!E516,'By Lot - West Campus'!E532,'By Lot - West Campus'!E549,'By Lot - West Campus'!E566,'By Lot - West Campus'!E583,'By Lot - West Campus'!E600,'By Lot - West Campus'!E617)</f>
        <v>25</v>
      </c>
      <c r="D25" s="32">
        <f>SUM('By Lot - West Campus'!F516,'By Lot - West Campus'!F532,'By Lot - West Campus'!F549,'By Lot - West Campus'!F566,'By Lot - West Campus'!F583,'By Lot - West Campus'!F600,'By Lot - West Campus'!F617)</f>
        <v>22</v>
      </c>
      <c r="E25" s="6">
        <f>SUM('By Lot - West Campus'!G516,'By Lot - West Campus'!G532,'By Lot - West Campus'!G549,'By Lot - West Campus'!G566,'By Lot - West Campus'!G583,'By Lot - West Campus'!G600,'By Lot - West Campus'!G617)</f>
        <v>21</v>
      </c>
      <c r="F25" s="6">
        <f>SUM('By Lot - West Campus'!H516,'By Lot - West Campus'!H532,'By Lot - West Campus'!H549,'By Lot - West Campus'!H566,'By Lot - West Campus'!H583,'By Lot - West Campus'!H600,'By Lot - West Campus'!H617)</f>
        <v>20</v>
      </c>
      <c r="G25" s="6">
        <f>SUM('By Lot - West Campus'!I516,'By Lot - West Campus'!I532,'By Lot - West Campus'!I549,'By Lot - West Campus'!I566,'By Lot - West Campus'!I583,'By Lot - West Campus'!I600,'By Lot - West Campus'!I617)</f>
        <v>20</v>
      </c>
      <c r="H25" s="6">
        <f>SUM('By Lot - West Campus'!J516,'By Lot - West Campus'!J532,'By Lot - West Campus'!J549,'By Lot - West Campus'!J566,'By Lot - West Campus'!J583,'By Lot - West Campus'!J600,'By Lot - West Campus'!J617)</f>
        <v>18</v>
      </c>
      <c r="I25" s="58">
        <f>SUM('By Lot - West Campus'!K516,'By Lot - West Campus'!K532,'By Lot - West Campus'!K549,'By Lot - West Campus'!K566,'By Lot - West Campus'!K583,'By Lot - West Campus'!K600,'By Lot - West Campus'!K617)</f>
        <v>19</v>
      </c>
      <c r="J25" s="58">
        <f>SUM('By Lot - West Campus'!L516,'By Lot - West Campus'!L532,'By Lot - West Campus'!L549,'By Lot - West Campus'!L566,'By Lot - West Campus'!L583,'By Lot - West Campus'!L600,'By Lot - West Campus'!L617)</f>
        <v>19</v>
      </c>
      <c r="K25" s="58">
        <f>SUM('By Lot - West Campus'!M516,'By Lot - West Campus'!M532,'By Lot - West Campus'!M549,'By Lot - West Campus'!M566,'By Lot - West Campus'!M583,'By Lot - West Campus'!M600,'By Lot - West Campus'!M617)</f>
        <v>23</v>
      </c>
      <c r="L25" s="58">
        <f>SUM('By Lot - West Campus'!N516,'By Lot - West Campus'!N532,'By Lot - West Campus'!N549,'By Lot - West Campus'!N566,'By Lot - West Campus'!N583,'By Lot - West Campus'!N600,'By Lot - West Campus'!N617)</f>
        <v>23</v>
      </c>
      <c r="M25" s="60">
        <f>SUM('By Lot - West Campus'!O516,'By Lot - West Campus'!O532,'By Lot - West Campus'!O549,'By Lot - West Campus'!O566,'By Lot - West Campus'!O583,'By Lot - West Campus'!O600,'By Lot - West Campus'!O617)</f>
        <v>25</v>
      </c>
      <c r="N25" s="32">
        <f t="shared" si="4"/>
        <v>18</v>
      </c>
      <c r="O25" s="6">
        <f t="shared" si="5"/>
        <v>7</v>
      </c>
      <c r="P25" s="59">
        <f t="shared" si="6"/>
        <v>0.28000000000000003</v>
      </c>
      <c r="Q25" s="6"/>
    </row>
    <row r="26" spans="1:26" ht="11.25" customHeight="1" outlineLevel="1" x14ac:dyDescent="0.4">
      <c r="A26" s="158" t="s">
        <v>342</v>
      </c>
      <c r="B26" s="17" t="s">
        <v>311</v>
      </c>
      <c r="C26" s="17">
        <f>SUM('By Lot - West Campus'!E517,'By Lot - West Campus'!E533,'By Lot - West Campus'!E550,'By Lot - West Campus'!E567,'By Lot - West Campus'!E584,'By Lot - West Campus'!E601,'By Lot - West Campus'!E618)</f>
        <v>6</v>
      </c>
      <c r="D26" s="32">
        <f>SUM('By Lot - West Campus'!F517,'By Lot - West Campus'!F533,'By Lot - West Campus'!F550,'By Lot - West Campus'!F567,'By Lot - West Campus'!F584,'By Lot - West Campus'!F601,'By Lot - West Campus'!F618)</f>
        <v>3</v>
      </c>
      <c r="E26" s="6">
        <f>SUM('By Lot - West Campus'!G517,'By Lot - West Campus'!G533,'By Lot - West Campus'!G550,'By Lot - West Campus'!G567,'By Lot - West Campus'!G584,'By Lot - West Campus'!G601,'By Lot - West Campus'!G618)</f>
        <v>2</v>
      </c>
      <c r="F26" s="6">
        <f>SUM('By Lot - West Campus'!H517,'By Lot - West Campus'!H533,'By Lot - West Campus'!H550,'By Lot - West Campus'!H567,'By Lot - West Campus'!H584,'By Lot - West Campus'!H601,'By Lot - West Campus'!H618)</f>
        <v>4</v>
      </c>
      <c r="G26" s="6">
        <f>SUM('By Lot - West Campus'!I517,'By Lot - West Campus'!I533,'By Lot - West Campus'!I550,'By Lot - West Campus'!I567,'By Lot - West Campus'!I584,'By Lot - West Campus'!I601,'By Lot - West Campus'!I618)</f>
        <v>3</v>
      </c>
      <c r="H26" s="6">
        <f>SUM('By Lot - West Campus'!J517,'By Lot - West Campus'!J533,'By Lot - West Campus'!J550,'By Lot - West Campus'!J567,'By Lot - West Campus'!J584,'By Lot - West Campus'!J601,'By Lot - West Campus'!J618)</f>
        <v>5</v>
      </c>
      <c r="I26" s="58">
        <f>SUM('By Lot - West Campus'!K517,'By Lot - West Campus'!K533,'By Lot - West Campus'!K550,'By Lot - West Campus'!K567,'By Lot - West Campus'!K584,'By Lot - West Campus'!K601,'By Lot - West Campus'!K618)</f>
        <v>6</v>
      </c>
      <c r="J26" s="58">
        <f>SUM('By Lot - West Campus'!L517,'By Lot - West Campus'!L533,'By Lot - West Campus'!L550,'By Lot - West Campus'!L567,'By Lot - West Campus'!L584,'By Lot - West Campus'!L601,'By Lot - West Campus'!L618)</f>
        <v>4</v>
      </c>
      <c r="K26" s="58">
        <f>SUM('By Lot - West Campus'!M517,'By Lot - West Campus'!M533,'By Lot - West Campus'!M550,'By Lot - West Campus'!M567,'By Lot - West Campus'!M584,'By Lot - West Campus'!M601,'By Lot - West Campus'!M618)</f>
        <v>3</v>
      </c>
      <c r="L26" s="58">
        <f>SUM('By Lot - West Campus'!N517,'By Lot - West Campus'!N533,'By Lot - West Campus'!N550,'By Lot - West Campus'!N567,'By Lot - West Campus'!N584,'By Lot - West Campus'!N601,'By Lot - West Campus'!N618)</f>
        <v>5</v>
      </c>
      <c r="M26" s="60">
        <f>SUM('By Lot - West Campus'!O517,'By Lot - West Campus'!O533,'By Lot - West Campus'!O550,'By Lot - West Campus'!O567,'By Lot - West Campus'!O584,'By Lot - West Campus'!O601,'By Lot - West Campus'!O618)</f>
        <v>6</v>
      </c>
      <c r="N26" s="32">
        <f t="shared" si="4"/>
        <v>2</v>
      </c>
      <c r="O26" s="6">
        <f t="shared" si="5"/>
        <v>4</v>
      </c>
      <c r="P26" s="59">
        <f t="shared" si="6"/>
        <v>0.66666666666666663</v>
      </c>
      <c r="Q26" s="6"/>
    </row>
    <row r="27" spans="1:26" ht="11.25" customHeight="1" outlineLevel="1" x14ac:dyDescent="0.4">
      <c r="A27" s="17"/>
      <c r="B27" s="17" t="s">
        <v>312</v>
      </c>
      <c r="C27" s="17"/>
      <c r="D27" s="32"/>
      <c r="E27" s="6"/>
      <c r="F27" s="6"/>
      <c r="G27" s="6"/>
      <c r="H27" s="6"/>
      <c r="I27" s="6"/>
      <c r="J27" s="6"/>
      <c r="K27" s="6"/>
      <c r="L27" s="6"/>
      <c r="M27" s="31"/>
      <c r="N27" s="32"/>
      <c r="O27" s="6"/>
      <c r="P27" s="59"/>
      <c r="Q27" s="6"/>
    </row>
    <row r="28" spans="1:26" ht="11.25" customHeight="1" outlineLevel="1" x14ac:dyDescent="0.4">
      <c r="A28" s="17"/>
      <c r="B28" s="17" t="s">
        <v>313</v>
      </c>
      <c r="C28" s="17"/>
      <c r="D28" s="32"/>
      <c r="E28" s="6"/>
      <c r="F28" s="6"/>
      <c r="G28" s="6"/>
      <c r="H28" s="6"/>
      <c r="I28" s="6"/>
      <c r="J28" s="6"/>
      <c r="K28" s="6"/>
      <c r="L28" s="6"/>
      <c r="M28" s="31"/>
      <c r="N28" s="32"/>
      <c r="O28" s="6"/>
      <c r="P28" s="59"/>
      <c r="Q28" s="6"/>
    </row>
    <row r="29" spans="1:26" ht="11.25" customHeight="1" x14ac:dyDescent="0.4">
      <c r="A29" s="34"/>
      <c r="B29" s="65" t="s">
        <v>314</v>
      </c>
      <c r="C29" s="65">
        <f t="shared" ref="C29:M29" si="7">SUM(C18:C28)</f>
        <v>1402</v>
      </c>
      <c r="D29" s="104">
        <f t="shared" si="7"/>
        <v>811</v>
      </c>
      <c r="E29" s="128">
        <f t="shared" si="7"/>
        <v>742</v>
      </c>
      <c r="F29" s="128">
        <f t="shared" si="7"/>
        <v>284</v>
      </c>
      <c r="G29" s="128">
        <f t="shared" si="7"/>
        <v>137</v>
      </c>
      <c r="H29" s="128">
        <f t="shared" si="7"/>
        <v>88</v>
      </c>
      <c r="I29" s="128">
        <f t="shared" si="7"/>
        <v>81</v>
      </c>
      <c r="J29" s="128">
        <f t="shared" si="7"/>
        <v>108</v>
      </c>
      <c r="K29" s="128">
        <f t="shared" si="7"/>
        <v>425</v>
      </c>
      <c r="L29" s="128">
        <f t="shared" si="7"/>
        <v>705</v>
      </c>
      <c r="M29" s="129">
        <f t="shared" si="7"/>
        <v>858</v>
      </c>
      <c r="N29" s="104">
        <f t="shared" ref="N29:N37" si="8">MIN(D29:M29)</f>
        <v>81</v>
      </c>
      <c r="O29" s="128">
        <f t="shared" ref="O29:O37" si="9">C29-N29</f>
        <v>1321</v>
      </c>
      <c r="P29" s="72">
        <f t="shared" ref="P29:P37" si="10">O29/C29</f>
        <v>0.94222539229671898</v>
      </c>
      <c r="Q29" s="6"/>
    </row>
    <row r="30" spans="1:26" ht="11.25" customHeight="1" outlineLevel="1" x14ac:dyDescent="0.4">
      <c r="A30" s="15" t="s">
        <v>258</v>
      </c>
      <c r="B30" s="17" t="s">
        <v>300</v>
      </c>
      <c r="C30" s="17">
        <f>SUM('By Lot - West Campus'!E741,'By Lot - West Campus'!E758,'By Lot - West Campus'!E775,'By Lot - West Campus'!E792,'By Lot - West Campus'!E809,'By Lot - West Campus'!E826)</f>
        <v>84</v>
      </c>
      <c r="D30" s="32">
        <f>SUM('By Lot - West Campus'!F741,'By Lot - West Campus'!F758,'By Lot - West Campus'!F775,'By Lot - West Campus'!F792,'By Lot - West Campus'!F809,'By Lot - West Campus'!F826)</f>
        <v>69</v>
      </c>
      <c r="E30" s="6">
        <f>SUM('By Lot - West Campus'!G741,'By Lot - West Campus'!G758,'By Lot - West Campus'!G775,'By Lot - West Campus'!G792,'By Lot - West Campus'!G809,'By Lot - West Campus'!G826)</f>
        <v>44</v>
      </c>
      <c r="F30" s="6">
        <f>SUM('By Lot - West Campus'!H741,'By Lot - West Campus'!H758,'By Lot - West Campus'!H775,'By Lot - West Campus'!H792,'By Lot - West Campus'!H809,'By Lot - West Campus'!H826)</f>
        <v>19</v>
      </c>
      <c r="G30" s="6">
        <f>SUM('By Lot - West Campus'!I741,'By Lot - West Campus'!I758,'By Lot - West Campus'!I775,'By Lot - West Campus'!I792,'By Lot - West Campus'!I809,'By Lot - West Campus'!I826)</f>
        <v>15</v>
      </c>
      <c r="H30" s="6">
        <f>SUM('By Lot - West Campus'!J741,'By Lot - West Campus'!J758,'By Lot - West Campus'!J775,'By Lot - West Campus'!J792,'By Lot - West Campus'!J809,'By Lot - West Campus'!J826)</f>
        <v>5</v>
      </c>
      <c r="I30" s="6">
        <f>SUM('By Lot - West Campus'!K741,'By Lot - West Campus'!K758,'By Lot - West Campus'!K775,'By Lot - West Campus'!K792,'By Lot - West Campus'!K809,'By Lot - West Campus'!K826)</f>
        <v>7</v>
      </c>
      <c r="J30" s="6">
        <f>SUM('By Lot - West Campus'!L741,'By Lot - West Campus'!L758,'By Lot - West Campus'!L775,'By Lot - West Campus'!L792,'By Lot - West Campus'!L809,'By Lot - West Campus'!L826)</f>
        <v>7</v>
      </c>
      <c r="K30" s="6">
        <f>SUM('By Lot - West Campus'!M741,'By Lot - West Campus'!M758,'By Lot - West Campus'!M775,'By Lot - West Campus'!M792,'By Lot - West Campus'!M809,'By Lot - West Campus'!M826)</f>
        <v>7</v>
      </c>
      <c r="L30" s="6">
        <f>SUM('By Lot - West Campus'!N741,'By Lot - West Campus'!N758,'By Lot - West Campus'!N775,'By Lot - West Campus'!N792,'By Lot - West Campus'!N809,'By Lot - West Campus'!N826)</f>
        <v>50</v>
      </c>
      <c r="M30" s="31">
        <f>SUM('By Lot - West Campus'!O741,'By Lot - West Campus'!O758,'By Lot - West Campus'!O775,'By Lot - West Campus'!O792,'By Lot - West Campus'!O809,'By Lot - West Campus'!O826)</f>
        <v>39</v>
      </c>
      <c r="N30" s="32">
        <f t="shared" si="8"/>
        <v>5</v>
      </c>
      <c r="O30" s="6">
        <f t="shared" si="9"/>
        <v>79</v>
      </c>
      <c r="P30" s="59">
        <f t="shared" si="10"/>
        <v>0.94047619047619047</v>
      </c>
      <c r="Q30" s="6"/>
    </row>
    <row r="31" spans="1:26" ht="11.25" customHeight="1" outlineLevel="1" x14ac:dyDescent="0.4">
      <c r="A31" s="17" t="s">
        <v>263</v>
      </c>
      <c r="B31" s="17" t="s">
        <v>301</v>
      </c>
      <c r="C31" s="17">
        <f>SUM('By Lot - West Campus'!E742,'By Lot - West Campus'!E759,'By Lot - West Campus'!E776,'By Lot - West Campus'!E793,'By Lot - West Campus'!E810,'By Lot - West Campus'!E827)</f>
        <v>329</v>
      </c>
      <c r="D31" s="32">
        <f>SUM('By Lot - West Campus'!F742,'By Lot - West Campus'!F759,'By Lot - West Campus'!F776,'By Lot - West Campus'!F793,'By Lot - West Campus'!F810,'By Lot - West Campus'!F827)</f>
        <v>197</v>
      </c>
      <c r="E31" s="6">
        <f>SUM('By Lot - West Campus'!G742,'By Lot - West Campus'!G759,'By Lot - West Campus'!G776,'By Lot - West Campus'!G793,'By Lot - West Campus'!G810,'By Lot - West Campus'!G827)</f>
        <v>45</v>
      </c>
      <c r="F31" s="6">
        <f>SUM('By Lot - West Campus'!H742,'By Lot - West Campus'!H759,'By Lot - West Campus'!H776,'By Lot - West Campus'!H793,'By Lot - West Campus'!H810,'By Lot - West Campus'!H827)</f>
        <v>12</v>
      </c>
      <c r="G31" s="6">
        <f>SUM('By Lot - West Campus'!I742,'By Lot - West Campus'!I759,'By Lot - West Campus'!I776,'By Lot - West Campus'!I793,'By Lot - West Campus'!I810,'By Lot - West Campus'!I827)</f>
        <v>0</v>
      </c>
      <c r="H31" s="6">
        <f>SUM('By Lot - West Campus'!J742,'By Lot - West Campus'!J759,'By Lot - West Campus'!J776,'By Lot - West Campus'!J793,'By Lot - West Campus'!J810,'By Lot - West Campus'!J827)</f>
        <v>0</v>
      </c>
      <c r="I31" s="6">
        <f>SUM('By Lot - West Campus'!K742,'By Lot - West Campus'!K759,'By Lot - West Campus'!K776,'By Lot - West Campus'!K793,'By Lot - West Campus'!K810,'By Lot - West Campus'!K827)</f>
        <v>6</v>
      </c>
      <c r="J31" s="6">
        <f>SUM('By Lot - West Campus'!L742,'By Lot - West Campus'!L759,'By Lot - West Campus'!L776,'By Lot - West Campus'!L793,'By Lot - West Campus'!L810,'By Lot - West Campus'!L827)</f>
        <v>8</v>
      </c>
      <c r="K31" s="6">
        <f>SUM('By Lot - West Campus'!M742,'By Lot - West Campus'!M759,'By Lot - West Campus'!M776,'By Lot - West Campus'!M793,'By Lot - West Campus'!M810,'By Lot - West Campus'!M827)</f>
        <v>183</v>
      </c>
      <c r="L31" s="6">
        <f>SUM('By Lot - West Campus'!N742,'By Lot - West Campus'!N759,'By Lot - West Campus'!N776,'By Lot - West Campus'!N793,'By Lot - West Campus'!N810,'By Lot - West Campus'!N827)</f>
        <v>199</v>
      </c>
      <c r="M31" s="31">
        <f>SUM('By Lot - West Campus'!O742,'By Lot - West Campus'!O759,'By Lot - West Campus'!O776,'By Lot - West Campus'!O793,'By Lot - West Campus'!O810,'By Lot - West Campus'!O827)</f>
        <v>258</v>
      </c>
      <c r="N31" s="32">
        <f t="shared" si="8"/>
        <v>0</v>
      </c>
      <c r="O31" s="6">
        <f t="shared" si="9"/>
        <v>329</v>
      </c>
      <c r="P31" s="59">
        <f t="shared" si="10"/>
        <v>1</v>
      </c>
      <c r="Q31" s="6"/>
    </row>
    <row r="32" spans="1:26" ht="11.25" customHeight="1" outlineLevel="1" x14ac:dyDescent="0.4">
      <c r="A32" s="17"/>
      <c r="B32" s="17" t="s">
        <v>303</v>
      </c>
      <c r="C32" s="17">
        <f>SUM('By Lot - West Campus'!E743,'By Lot - West Campus'!E760,'By Lot - West Campus'!E777,'By Lot - West Campus'!E794,'By Lot - West Campus'!E811,'By Lot - West Campus'!E828)</f>
        <v>410</v>
      </c>
      <c r="D32" s="32">
        <f>SUM('By Lot - West Campus'!F743,'By Lot - West Campus'!F760,'By Lot - West Campus'!F777,'By Lot - West Campus'!F794,'By Lot - West Campus'!F811,'By Lot - West Campus'!F828)</f>
        <v>2</v>
      </c>
      <c r="E32" s="6">
        <f>SUM('By Lot - West Campus'!G743,'By Lot - West Campus'!G760,'By Lot - West Campus'!G777,'By Lot - West Campus'!G794,'By Lot - West Campus'!G811,'By Lot - West Campus'!G828)</f>
        <v>0</v>
      </c>
      <c r="F32" s="6">
        <f>SUM('By Lot - West Campus'!H743,'By Lot - West Campus'!H760,'By Lot - West Campus'!I778,'By Lot - West Campus'!H794,'By Lot - West Campus'!H811,'By Lot - West Campus'!H828)</f>
        <v>0</v>
      </c>
      <c r="G32" s="6">
        <f>SUM('By Lot - West Campus'!I743,'By Lot - West Campus'!I760,'By Lot - West Campus'!I777,'By Lot - West Campus'!I794,'By Lot - West Campus'!I811,'By Lot - West Campus'!I828)</f>
        <v>0</v>
      </c>
      <c r="H32" s="6">
        <f>SUM('By Lot - West Campus'!J743,'By Lot - West Campus'!J760,'By Lot - West Campus'!J777,'By Lot - West Campus'!J794,'By Lot - West Campus'!J811,'By Lot - West Campus'!J828)</f>
        <v>0</v>
      </c>
      <c r="I32" s="58">
        <f>SUM('By Lot - West Campus'!K743,'By Lot - West Campus'!K760,'By Lot - West Campus'!K777,'By Lot - West Campus'!K794,'By Lot - West Campus'!K811,'By Lot - West Campus'!K828)</f>
        <v>0</v>
      </c>
      <c r="J32" s="58">
        <f>SUM('By Lot - West Campus'!L743,'By Lot - West Campus'!L760,'By Lot - West Campus'!L777,'By Lot - West Campus'!L794,'By Lot - West Campus'!L811,'By Lot - West Campus'!L828)</f>
        <v>0</v>
      </c>
      <c r="K32" s="58">
        <f>SUM('By Lot - West Campus'!M743,'By Lot - West Campus'!M760,'By Lot - West Campus'!M777,'By Lot - West Campus'!M794,'By Lot - West Campus'!M811,'By Lot - West Campus'!M828)</f>
        <v>4</v>
      </c>
      <c r="L32" s="58">
        <f>SUM('By Lot - West Campus'!N743,'By Lot - West Campus'!N760,'By Lot - West Campus'!N777,'By Lot - West Campus'!N794,'By Lot - West Campus'!N811,'By Lot - West Campus'!N828)</f>
        <v>4</v>
      </c>
      <c r="M32" s="60">
        <f>SUM('By Lot - West Campus'!O743,'By Lot - West Campus'!O760,'By Lot - West Campus'!O777,'By Lot - West Campus'!O794,'By Lot - West Campus'!O811,'By Lot - West Campus'!O828)</f>
        <v>13</v>
      </c>
      <c r="N32" s="32">
        <f t="shared" si="8"/>
        <v>0</v>
      </c>
      <c r="O32" s="6">
        <f t="shared" si="9"/>
        <v>410</v>
      </c>
      <c r="P32" s="59">
        <f t="shared" si="10"/>
        <v>1</v>
      </c>
      <c r="Q32" s="6"/>
    </row>
    <row r="33" spans="1:17" ht="11.25" customHeight="1" outlineLevel="1" x14ac:dyDescent="0.4">
      <c r="A33" s="17"/>
      <c r="B33" s="17" t="s">
        <v>307</v>
      </c>
      <c r="C33" s="17">
        <f>SUM('By Lot - West Campus'!E744:E745,'By Lot - West Campus'!E761:E762,'By Lot - West Campus'!E778:E779,'By Lot - West Campus'!E795:E796,'By Lot - West Campus'!E812:E813,'By Lot - West Campus'!E829:E830)</f>
        <v>76</v>
      </c>
      <c r="D33" s="32">
        <f>SUM('By Lot - West Campus'!F744:F745,'By Lot - West Campus'!F761:F762,'By Lot - West Campus'!F778:F779,'By Lot - West Campus'!F795:F796,'By Lot - West Campus'!F812:F813,'By Lot - West Campus'!F829:F830)</f>
        <v>59</v>
      </c>
      <c r="E33" s="6">
        <f>SUM('By Lot - West Campus'!G744:G745,'By Lot - West Campus'!G761:G762,'By Lot - West Campus'!G778:G779,'By Lot - West Campus'!G795:G796,'By Lot - West Campus'!G812:G813,'By Lot - West Campus'!G829:G830)</f>
        <v>23</v>
      </c>
      <c r="F33" s="6">
        <f>SUM('By Lot - West Campus'!H744:H745,'By Lot - West Campus'!H761:H762,'By Lot - West Campus'!H778:H779,'By Lot - West Campus'!H795:H796,'By Lot - West Campus'!H812:H813,'By Lot - West Campus'!H829:H830)</f>
        <v>16</v>
      </c>
      <c r="G33" s="6">
        <f>SUM('By Lot - West Campus'!I744:I745,'By Lot - West Campus'!I761:I762,'By Lot - West Campus'!I778:I779,'By Lot - West Campus'!I795:I796,'By Lot - West Campus'!I812:I813,'By Lot - West Campus'!I829:I830)</f>
        <v>7</v>
      </c>
      <c r="H33" s="6">
        <f>SUM('By Lot - West Campus'!J744:J745,'By Lot - West Campus'!J761:J762,'By Lot - West Campus'!J778:J779,'By Lot - West Campus'!J795:J796,'By Lot - West Campus'!J812:J813,'By Lot - West Campus'!J829:J830)</f>
        <v>2</v>
      </c>
      <c r="I33" s="6">
        <f>SUM('By Lot - West Campus'!K744:K745,'By Lot - West Campus'!K761:K762,'By Lot - West Campus'!K778:K779,'By Lot - West Campus'!K795:K796,'By Lot - West Campus'!K812:K813,'By Lot - West Campus'!K829:K830)</f>
        <v>2</v>
      </c>
      <c r="J33" s="6">
        <f>SUM('By Lot - West Campus'!L744:L745,'By Lot - West Campus'!L761:L762,'By Lot - West Campus'!L778:L779,'By Lot - West Campus'!L795:L796,'By Lot - West Campus'!L812:L813,'By Lot - West Campus'!L829:L830)</f>
        <v>4</v>
      </c>
      <c r="K33" s="6">
        <f>SUM('By Lot - West Campus'!M744:M745,'By Lot - West Campus'!M761:M762,'By Lot - West Campus'!M778:M779,'By Lot - West Campus'!M795:M796,'By Lot - West Campus'!M812:M813,'By Lot - West Campus'!M829:M830)</f>
        <v>10</v>
      </c>
      <c r="L33" s="6">
        <f>SUM('By Lot - West Campus'!N744:N745,'By Lot - West Campus'!N761:N762,'By Lot - West Campus'!N778:N779,'By Lot - West Campus'!N795:N796,'By Lot - West Campus'!N812:N813,'By Lot - West Campus'!N829:N830)</f>
        <v>21</v>
      </c>
      <c r="M33" s="31">
        <f>SUM('By Lot - West Campus'!O744:O745,'By Lot - West Campus'!O761:O762,'By Lot - West Campus'!O778:O779,'By Lot - West Campus'!O795:O796,'By Lot - West Campus'!O812:O813,'By Lot - West Campus'!O829:O830)</f>
        <v>23</v>
      </c>
      <c r="N33" s="32">
        <f t="shared" si="8"/>
        <v>2</v>
      </c>
      <c r="O33" s="6">
        <f t="shared" si="9"/>
        <v>74</v>
      </c>
      <c r="P33" s="59">
        <f t="shared" si="10"/>
        <v>0.97368421052631582</v>
      </c>
      <c r="Q33" s="6"/>
    </row>
    <row r="34" spans="1:17" ht="11.25" customHeight="1" outlineLevel="1" x14ac:dyDescent="0.4">
      <c r="A34" s="17"/>
      <c r="B34" s="17" t="s">
        <v>308</v>
      </c>
      <c r="C34" s="17">
        <f>SUM('By Lot - West Campus'!E746,'By Lot - West Campus'!E763,'By Lot - West Campus'!E780,'By Lot - West Campus'!E797,'By Lot - West Campus'!E814,'By Lot - West Campus'!E831)</f>
        <v>8</v>
      </c>
      <c r="D34" s="32">
        <f>SUM('By Lot - West Campus'!F746,'By Lot - West Campus'!F763,'By Lot - West Campus'!F780,'By Lot - West Campus'!F797,'By Lot - West Campus'!F814,'By Lot - West Campus'!F831)</f>
        <v>4</v>
      </c>
      <c r="E34" s="6">
        <f>SUM('By Lot - West Campus'!G746,'By Lot - West Campus'!G763,'By Lot - West Campus'!G780,'By Lot - West Campus'!G797,'By Lot - West Campus'!G814,'By Lot - West Campus'!G831)</f>
        <v>4</v>
      </c>
      <c r="F34" s="6">
        <f>SUM('By Lot - West Campus'!H746,'By Lot - West Campus'!H763,'By Lot - West Campus'!H780,'By Lot - West Campus'!H797,'By Lot - West Campus'!H814,'By Lot - West Campus'!H831)</f>
        <v>4</v>
      </c>
      <c r="G34" s="6">
        <f>SUM('By Lot - West Campus'!I746,'By Lot - West Campus'!I763,'By Lot - West Campus'!I780,'By Lot - West Campus'!I797,'By Lot - West Campus'!I814,'By Lot - West Campus'!I831)</f>
        <v>4</v>
      </c>
      <c r="H34" s="6">
        <f>SUM('By Lot - West Campus'!J746,'By Lot - West Campus'!J763,'By Lot - West Campus'!J780,'By Lot - West Campus'!J797,'By Lot - West Campus'!J814,'By Lot - West Campus'!J831)</f>
        <v>2</v>
      </c>
      <c r="I34" s="6">
        <f>SUM('By Lot - West Campus'!K746,'By Lot - West Campus'!K763,'By Lot - West Campus'!K780,'By Lot - West Campus'!K797,'By Lot - West Campus'!K814,'By Lot - West Campus'!K831)</f>
        <v>4</v>
      </c>
      <c r="J34" s="6">
        <f>SUM('By Lot - West Campus'!L746,'By Lot - West Campus'!L763,'By Lot - West Campus'!L780,'By Lot - West Campus'!L797,'By Lot - West Campus'!L814,'By Lot - West Campus'!L831)</f>
        <v>5</v>
      </c>
      <c r="K34" s="6">
        <f>SUM('By Lot - West Campus'!M746,'By Lot - West Campus'!M763,'By Lot - West Campus'!M780,'By Lot - West Campus'!M797,'By Lot - West Campus'!M814,'By Lot - West Campus'!M831)</f>
        <v>5</v>
      </c>
      <c r="L34" s="6">
        <f>SUM('By Lot - West Campus'!N746,'By Lot - West Campus'!N763,'By Lot - West Campus'!N780,'By Lot - West Campus'!N797,'By Lot - West Campus'!N814,'By Lot - West Campus'!N831)</f>
        <v>8</v>
      </c>
      <c r="M34" s="31">
        <f>SUM('By Lot - West Campus'!O746,'By Lot - West Campus'!O763,'By Lot - West Campus'!O780,'By Lot - West Campus'!O797,'By Lot - West Campus'!O814,'By Lot - West Campus'!O831)</f>
        <v>7</v>
      </c>
      <c r="N34" s="32">
        <f t="shared" si="8"/>
        <v>2</v>
      </c>
      <c r="O34" s="6">
        <f t="shared" si="9"/>
        <v>6</v>
      </c>
      <c r="P34" s="59">
        <f t="shared" si="10"/>
        <v>0.75</v>
      </c>
      <c r="Q34" s="6"/>
    </row>
    <row r="35" spans="1:17" ht="11.25" customHeight="1" outlineLevel="1" x14ac:dyDescent="0.4">
      <c r="A35" s="17"/>
      <c r="B35" s="17" t="s">
        <v>309</v>
      </c>
      <c r="C35" s="17">
        <f>SUM('By Lot - West Campus'!E747:E752,'By Lot - West Campus'!E764:E769,'By Lot - West Campus'!E781:E786,'By Lot - West Campus'!E798:E803,'By Lot - West Campus'!E815:E820,'By Lot - West Campus'!E832:E837)</f>
        <v>20</v>
      </c>
      <c r="D35" s="32">
        <f>SUM('By Lot - West Campus'!F747:F752,'By Lot - West Campus'!F764:F769,'By Lot - West Campus'!F781:F786,'By Lot - West Campus'!F798:F803,'By Lot - West Campus'!F815:F820,'By Lot - West Campus'!F832:F837)</f>
        <v>12</v>
      </c>
      <c r="E35" s="6">
        <f>SUM('By Lot - West Campus'!G747:G752,'By Lot - West Campus'!G764:G769,'By Lot - West Campus'!G781:G786,'By Lot - West Campus'!G798:G803,'By Lot - West Campus'!G815:G820,'By Lot - West Campus'!G832:G837)</f>
        <v>10</v>
      </c>
      <c r="F35" s="6">
        <f>SUM('By Lot - West Campus'!H747:H752,'By Lot - West Campus'!H764:H769,'By Lot - West Campus'!H781:H786,'By Lot - West Campus'!H798:H803,'By Lot - West Campus'!H815:H820,'By Lot - West Campus'!H832:H837)</f>
        <v>10</v>
      </c>
      <c r="G35" s="6">
        <f>SUM('By Lot - West Campus'!I747:I752,'By Lot - West Campus'!I764:I769,'By Lot - West Campus'!I781:I786,'By Lot - West Campus'!I798:I803,'By Lot - West Campus'!I815:I820,'By Lot - West Campus'!I832:I837)</f>
        <v>9</v>
      </c>
      <c r="H35" s="6">
        <f>SUM('By Lot - West Campus'!J747:J752,'By Lot - West Campus'!J764:J769,'By Lot - West Campus'!J781:J786,'By Lot - West Campus'!J798:J803,'By Lot - West Campus'!J815:J820,'By Lot - West Campus'!J832:J837)</f>
        <v>5</v>
      </c>
      <c r="I35" s="6">
        <f>SUM('By Lot - West Campus'!K747:K752,'By Lot - West Campus'!K764:K769,'By Lot - West Campus'!K781:K786,'By Lot - West Campus'!K798:K803,'By Lot - West Campus'!K815:K820,'By Lot - West Campus'!K832:K837)</f>
        <v>10</v>
      </c>
      <c r="J35" s="6">
        <f>SUM('By Lot - West Campus'!L747:L752,'By Lot - West Campus'!L764:L769,'By Lot - West Campus'!L781:L786,'By Lot - West Campus'!L798:L803,'By Lot - West Campus'!L815:L820,'By Lot - West Campus'!L832:L837)</f>
        <v>9</v>
      </c>
      <c r="K35" s="6">
        <f>SUM('By Lot - West Campus'!M747:M752,'By Lot - West Campus'!M764:M769,'By Lot - West Campus'!M781:M786,'By Lot - West Campus'!M798:M803,'By Lot - West Campus'!M815:M820,'By Lot - West Campus'!M832:M837)</f>
        <v>13</v>
      </c>
      <c r="L35" s="6">
        <f>SUM('By Lot - West Campus'!N747:N752,'By Lot - West Campus'!N764:N769,'By Lot - West Campus'!N781:N786,'By Lot - West Campus'!N798:N803,'By Lot - West Campus'!N815:N820,'By Lot - West Campus'!N832:N837)</f>
        <v>12</v>
      </c>
      <c r="M35" s="31">
        <f>SUM('By Lot - West Campus'!O747:O752,'By Lot - West Campus'!O764:O769,'By Lot - West Campus'!O781:O786,'By Lot - West Campus'!O798:O803,'By Lot - West Campus'!O815:O820,'By Lot - West Campus'!O832:O837)</f>
        <v>13</v>
      </c>
      <c r="N35" s="32">
        <f t="shared" si="8"/>
        <v>5</v>
      </c>
      <c r="O35" s="6">
        <f t="shared" si="9"/>
        <v>15</v>
      </c>
      <c r="P35" s="59">
        <f t="shared" si="10"/>
        <v>0.75</v>
      </c>
      <c r="Q35" s="6"/>
    </row>
    <row r="36" spans="1:17" ht="11.25" customHeight="1" outlineLevel="1" x14ac:dyDescent="0.4">
      <c r="A36" s="17"/>
      <c r="B36" s="17" t="s">
        <v>310</v>
      </c>
      <c r="C36" s="17">
        <f>SUM('By Lot - West Campus'!E753,'By Lot - West Campus'!E770,'By Lot - West Campus'!E787,'By Lot - West Campus'!E804,'By Lot - West Campus'!E821,'By Lot - West Campus'!E838)</f>
        <v>15</v>
      </c>
      <c r="D36" s="32">
        <f>SUM('By Lot - West Campus'!F753,'By Lot - West Campus'!F770,'By Lot - West Campus'!F787,'By Lot - West Campus'!F804,'By Lot - West Campus'!F821,'By Lot - West Campus'!F838)</f>
        <v>10</v>
      </c>
      <c r="E36" s="6">
        <f>SUM('By Lot - West Campus'!G753,'By Lot - West Campus'!G770,'By Lot - West Campus'!G787,'By Lot - West Campus'!G804,'By Lot - West Campus'!G821,'By Lot - West Campus'!G838)</f>
        <v>9</v>
      </c>
      <c r="F36" s="6">
        <f>SUM('By Lot - West Campus'!H753,'By Lot - West Campus'!H770,'By Lot - West Campus'!H787,'By Lot - West Campus'!H804,'By Lot - West Campus'!H821,'By Lot - West Campus'!H838)</f>
        <v>8</v>
      </c>
      <c r="G36" s="6">
        <f>SUM('By Lot - West Campus'!I753,'By Lot - West Campus'!I770,'By Lot - West Campus'!I787,'By Lot - West Campus'!I804,'By Lot - West Campus'!I821,'By Lot - West Campus'!I838)</f>
        <v>9</v>
      </c>
      <c r="H36" s="6">
        <f>SUM('By Lot - West Campus'!J753,'By Lot - West Campus'!J770,'By Lot - West Campus'!J787,'By Lot - West Campus'!J804,'By Lot - West Campus'!J821,'By Lot - West Campus'!J838)</f>
        <v>5</v>
      </c>
      <c r="I36" s="6">
        <f>SUM('By Lot - West Campus'!K753,'By Lot - West Campus'!K770,'By Lot - West Campus'!K787,'By Lot - West Campus'!K804,'By Lot - West Campus'!K821,'By Lot - West Campus'!K838)</f>
        <v>8</v>
      </c>
      <c r="J36" s="6">
        <f>SUM('By Lot - West Campus'!L753,'By Lot - West Campus'!L770,'By Lot - West Campus'!L787,'By Lot - West Campus'!L804,'By Lot - West Campus'!L821,'By Lot - West Campus'!L838)</f>
        <v>10</v>
      </c>
      <c r="K36" s="6">
        <f>SUM('By Lot - West Campus'!M753,'By Lot - West Campus'!M770,'By Lot - West Campus'!M787,'By Lot - West Campus'!M804,'By Lot - West Campus'!M821,'By Lot - West Campus'!M838)</f>
        <v>11</v>
      </c>
      <c r="L36" s="6">
        <f>SUM('By Lot - West Campus'!N753,'By Lot - West Campus'!N770,'By Lot - West Campus'!N787,'By Lot - West Campus'!N804,'By Lot - West Campus'!N821,'By Lot - West Campus'!N838)</f>
        <v>12</v>
      </c>
      <c r="M36" s="31">
        <f>SUM('By Lot - West Campus'!O753,'By Lot - West Campus'!O770,'By Lot - West Campus'!O787,'By Lot - West Campus'!O804,'By Lot - West Campus'!O821,'By Lot - West Campus'!O838)</f>
        <v>15</v>
      </c>
      <c r="N36" s="32">
        <f t="shared" si="8"/>
        <v>5</v>
      </c>
      <c r="O36" s="6">
        <f t="shared" si="9"/>
        <v>10</v>
      </c>
      <c r="P36" s="59">
        <f t="shared" si="10"/>
        <v>0.66666666666666663</v>
      </c>
      <c r="Q36" s="6"/>
    </row>
    <row r="37" spans="1:17" ht="11.25" customHeight="1" outlineLevel="1" x14ac:dyDescent="0.4">
      <c r="A37" s="17"/>
      <c r="B37" s="17" t="s">
        <v>311</v>
      </c>
      <c r="C37" s="17">
        <f>SUM('By Lot - West Campus'!E754,'By Lot - West Campus'!E771,'By Lot - West Campus'!E788,'By Lot - West Campus'!E805,'By Lot - West Campus'!E822,'By Lot - West Campus'!E839)</f>
        <v>9</v>
      </c>
      <c r="D37" s="32">
        <f>SUM('By Lot - West Campus'!F754,'By Lot - West Campus'!F771,'By Lot - West Campus'!F788,'By Lot - West Campus'!F805,'By Lot - West Campus'!F822,'By Lot - West Campus'!F839)</f>
        <v>3</v>
      </c>
      <c r="E37" s="6">
        <f>SUM('By Lot - West Campus'!G754,'By Lot - West Campus'!G771,'By Lot - West Campus'!G788,'By Lot - West Campus'!G805,'By Lot - West Campus'!G822,'By Lot - West Campus'!G839)</f>
        <v>4</v>
      </c>
      <c r="F37" s="6">
        <f>SUM('By Lot - West Campus'!H754,'By Lot - West Campus'!H771,'By Lot - West Campus'!H788,'By Lot - West Campus'!H805,'By Lot - West Campus'!H822,'By Lot - West Campus'!H839)</f>
        <v>3</v>
      </c>
      <c r="G37" s="6">
        <f>SUM('By Lot - West Campus'!I754,'By Lot - West Campus'!I771,'By Lot - West Campus'!I788,'By Lot - West Campus'!I805,'By Lot - West Campus'!I822,'By Lot - West Campus'!I839)</f>
        <v>5</v>
      </c>
      <c r="H37" s="6">
        <f>SUM('By Lot - West Campus'!J754,'By Lot - West Campus'!J771,'By Lot - West Campus'!J788,'By Lot - West Campus'!J805,'By Lot - West Campus'!J822,'By Lot - West Campus'!J839)</f>
        <v>3</v>
      </c>
      <c r="I37" s="6">
        <f>SUM('By Lot - West Campus'!K754,'By Lot - West Campus'!K771,'By Lot - West Campus'!K788,'By Lot - West Campus'!K805,'By Lot - West Campus'!K822,'By Lot - West Campus'!K839)</f>
        <v>4</v>
      </c>
      <c r="J37" s="6">
        <f>SUM('By Lot - West Campus'!L754,'By Lot - West Campus'!L771,'By Lot - West Campus'!L788,'By Lot - West Campus'!L805,'By Lot - West Campus'!L822,'By Lot - West Campus'!L839)</f>
        <v>5</v>
      </c>
      <c r="K37" s="6">
        <f>SUM('By Lot - West Campus'!M754,'By Lot - West Campus'!M771,'By Lot - West Campus'!M788,'By Lot - West Campus'!M805,'By Lot - West Campus'!M822,'By Lot - West Campus'!M839)</f>
        <v>5</v>
      </c>
      <c r="L37" s="6">
        <f>SUM('By Lot - West Campus'!N754,'By Lot - West Campus'!N771,'By Lot - West Campus'!N788,'By Lot - West Campus'!N805,'By Lot - West Campus'!N822,'By Lot - West Campus'!N839)</f>
        <v>7</v>
      </c>
      <c r="M37" s="31">
        <f>SUM('By Lot - West Campus'!O754,'By Lot - West Campus'!O771,'By Lot - West Campus'!O788,'By Lot - West Campus'!O805,'By Lot - West Campus'!O822,'By Lot - West Campus'!O839)</f>
        <v>8</v>
      </c>
      <c r="N37" s="32">
        <f t="shared" si="8"/>
        <v>3</v>
      </c>
      <c r="O37" s="6">
        <f t="shared" si="9"/>
        <v>6</v>
      </c>
      <c r="P37" s="59">
        <f t="shared" si="10"/>
        <v>0.66666666666666663</v>
      </c>
      <c r="Q37" s="6"/>
    </row>
    <row r="38" spans="1:17" ht="11.25" customHeight="1" outlineLevel="1" x14ac:dyDescent="0.4">
      <c r="A38" s="17"/>
      <c r="B38" s="17" t="s">
        <v>312</v>
      </c>
      <c r="C38" s="17"/>
      <c r="D38" s="32"/>
      <c r="E38" s="6"/>
      <c r="F38" s="6"/>
      <c r="G38" s="6"/>
      <c r="H38" s="6"/>
      <c r="I38" s="6"/>
      <c r="J38" s="6"/>
      <c r="K38" s="6"/>
      <c r="L38" s="6"/>
      <c r="M38" s="31"/>
      <c r="N38" s="32"/>
      <c r="O38" s="6"/>
      <c r="P38" s="59"/>
      <c r="Q38" s="6"/>
    </row>
    <row r="39" spans="1:17" ht="11.25" customHeight="1" outlineLevel="1" x14ac:dyDescent="0.4">
      <c r="A39" s="17"/>
      <c r="B39" s="17" t="s">
        <v>313</v>
      </c>
      <c r="C39" s="17"/>
      <c r="D39" s="32"/>
      <c r="E39" s="6"/>
      <c r="F39" s="6"/>
      <c r="G39" s="6"/>
      <c r="H39" s="6"/>
      <c r="I39" s="6"/>
      <c r="J39" s="6"/>
      <c r="K39" s="6"/>
      <c r="L39" s="6"/>
      <c r="M39" s="31"/>
      <c r="N39" s="32"/>
      <c r="O39" s="6"/>
      <c r="P39" s="59"/>
      <c r="Q39" s="6"/>
    </row>
    <row r="40" spans="1:17" ht="11.25" customHeight="1" x14ac:dyDescent="0.4">
      <c r="A40" s="34"/>
      <c r="B40" s="65" t="s">
        <v>314</v>
      </c>
      <c r="C40" s="65">
        <f t="shared" ref="C40:M40" si="11">SUM(C30:C39)</f>
        <v>951</v>
      </c>
      <c r="D40" s="104">
        <f t="shared" si="11"/>
        <v>356</v>
      </c>
      <c r="E40" s="128">
        <f t="shared" si="11"/>
        <v>139</v>
      </c>
      <c r="F40" s="128">
        <f t="shared" si="11"/>
        <v>72</v>
      </c>
      <c r="G40" s="128">
        <f t="shared" si="11"/>
        <v>49</v>
      </c>
      <c r="H40" s="128">
        <f t="shared" si="11"/>
        <v>22</v>
      </c>
      <c r="I40" s="128">
        <f t="shared" si="11"/>
        <v>41</v>
      </c>
      <c r="J40" s="128">
        <f t="shared" si="11"/>
        <v>48</v>
      </c>
      <c r="K40" s="128">
        <f t="shared" si="11"/>
        <v>238</v>
      </c>
      <c r="L40" s="128">
        <f t="shared" si="11"/>
        <v>313</v>
      </c>
      <c r="M40" s="129">
        <f t="shared" si="11"/>
        <v>376</v>
      </c>
      <c r="N40" s="104">
        <f>MIN(D40:M40)</f>
        <v>22</v>
      </c>
      <c r="O40" s="128">
        <f>C40-N40</f>
        <v>929</v>
      </c>
      <c r="P40" s="72">
        <f>O40/C40</f>
        <v>0.97686645636172453</v>
      </c>
      <c r="Q40" s="6"/>
    </row>
    <row r="41" spans="1:17" ht="11.25" customHeight="1" outlineLevel="1" x14ac:dyDescent="0.4">
      <c r="A41" s="15" t="s">
        <v>343</v>
      </c>
      <c r="B41" s="17" t="s">
        <v>300</v>
      </c>
      <c r="C41" s="17"/>
      <c r="D41" s="32"/>
      <c r="E41" s="6"/>
      <c r="F41" s="6"/>
      <c r="G41" s="6"/>
      <c r="H41" s="6"/>
      <c r="I41" s="6"/>
      <c r="J41" s="6"/>
      <c r="K41" s="6"/>
      <c r="L41" s="6"/>
      <c r="M41" s="31"/>
      <c r="N41" s="32"/>
      <c r="O41" s="6"/>
      <c r="P41" s="59"/>
      <c r="Q41" s="6"/>
    </row>
    <row r="42" spans="1:17" ht="11.25" customHeight="1" outlineLevel="1" x14ac:dyDescent="0.4">
      <c r="A42" s="17" t="s">
        <v>344</v>
      </c>
      <c r="B42" s="17" t="s">
        <v>301</v>
      </c>
      <c r="C42" s="17">
        <f>SUM('By Lot - West Campus'!E844,'By Lot - West Campus'!E861)</f>
        <v>369</v>
      </c>
      <c r="D42" s="32">
        <f>SUM('By Lot - West Campus'!F844,'By Lot - West Campus'!F861)</f>
        <v>234</v>
      </c>
      <c r="E42" s="6">
        <f>SUM('By Lot - West Campus'!G844,'By Lot - West Campus'!G861)</f>
        <v>227</v>
      </c>
      <c r="F42" s="6">
        <f>SUM('By Lot - West Campus'!H844,'By Lot - West Campus'!H861)</f>
        <v>218</v>
      </c>
      <c r="G42" s="6">
        <f>SUM('By Lot - West Campus'!I844,'By Lot - West Campus'!I861)</f>
        <v>221</v>
      </c>
      <c r="H42" s="6">
        <f>SUM('By Lot - West Campus'!J844,'By Lot - West Campus'!J861)</f>
        <v>231</v>
      </c>
      <c r="I42" s="6">
        <f>SUM('By Lot - West Campus'!K844,'By Lot - West Campus'!K861)</f>
        <v>243</v>
      </c>
      <c r="J42" s="6">
        <f>SUM('By Lot - West Campus'!L844,'By Lot - West Campus'!L861)</f>
        <v>264</v>
      </c>
      <c r="K42" s="6">
        <f>SUM('By Lot - West Campus'!M844,'By Lot - West Campus'!M861)</f>
        <v>286</v>
      </c>
      <c r="L42" s="6">
        <f>SUM('By Lot - West Campus'!N844,'By Lot - West Campus'!N861)</f>
        <v>313</v>
      </c>
      <c r="M42" s="31">
        <f>SUM('By Lot - West Campus'!O844,'By Lot - West Campus'!O861)</f>
        <v>338</v>
      </c>
      <c r="N42" s="32">
        <f t="shared" ref="N42:N48" si="12">MIN(D42:M42)</f>
        <v>218</v>
      </c>
      <c r="O42" s="6">
        <f t="shared" ref="O42:O48" si="13">C42-N42</f>
        <v>151</v>
      </c>
      <c r="P42" s="59">
        <f t="shared" ref="P42:P48" si="14">O42/C42</f>
        <v>0.40921409214092141</v>
      </c>
      <c r="Q42" s="6"/>
    </row>
    <row r="43" spans="1:17" ht="11.25" customHeight="1" outlineLevel="1" x14ac:dyDescent="0.4">
      <c r="A43" s="17" t="s">
        <v>12</v>
      </c>
      <c r="B43" s="17" t="s">
        <v>303</v>
      </c>
      <c r="C43" s="17">
        <f>SUM('By Lot - West Campus'!E845,'By Lot - West Campus'!E862)</f>
        <v>4</v>
      </c>
      <c r="D43" s="32">
        <f>SUM('By Lot - West Campus'!F845,'By Lot - West Campus'!F862)</f>
        <v>3</v>
      </c>
      <c r="E43" s="6">
        <f>SUM('By Lot - West Campus'!G845,'By Lot - West Campus'!G862)</f>
        <v>3</v>
      </c>
      <c r="F43" s="6">
        <f>SUM('By Lot - West Campus'!H845,'By Lot - West Campus'!H862)</f>
        <v>3</v>
      </c>
      <c r="G43" s="6">
        <f>SUM('By Lot - West Campus'!I845,'By Lot - West Campus'!I862)</f>
        <v>3</v>
      </c>
      <c r="H43" s="6">
        <f>SUM('By Lot - West Campus'!J845,'By Lot - West Campus'!J862)</f>
        <v>3</v>
      </c>
      <c r="I43" s="6">
        <f>SUM('By Lot - West Campus'!K845,'By Lot - West Campus'!K862)</f>
        <v>3</v>
      </c>
      <c r="J43" s="6">
        <f>SUM('By Lot - West Campus'!L845,'By Lot - West Campus'!L862)</f>
        <v>3</v>
      </c>
      <c r="K43" s="6">
        <f>SUM('By Lot - West Campus'!M845,'By Lot - West Campus'!M862)</f>
        <v>4</v>
      </c>
      <c r="L43" s="6">
        <f>SUM('By Lot - West Campus'!N845,'By Lot - West Campus'!N862)</f>
        <v>4</v>
      </c>
      <c r="M43" s="31">
        <f>SUM('By Lot - West Campus'!O845,'By Lot - West Campus'!O862)</f>
        <v>4</v>
      </c>
      <c r="N43" s="32">
        <f t="shared" si="12"/>
        <v>3</v>
      </c>
      <c r="O43" s="6">
        <f t="shared" si="13"/>
        <v>1</v>
      </c>
      <c r="P43" s="59">
        <f t="shared" si="14"/>
        <v>0.25</v>
      </c>
      <c r="Q43" s="6"/>
    </row>
    <row r="44" spans="1:17" ht="11.25" customHeight="1" outlineLevel="1" x14ac:dyDescent="0.4">
      <c r="A44" s="17" t="s">
        <v>30</v>
      </c>
      <c r="B44" s="17" t="s">
        <v>307</v>
      </c>
      <c r="C44" s="17">
        <f>SUM('By Lot - West Campus'!E846:E847,'By Lot - West Campus'!E863:E864)</f>
        <v>9</v>
      </c>
      <c r="D44" s="32">
        <f>SUM('By Lot - West Campus'!F846:F847,'By Lot - West Campus'!F863:F864)</f>
        <v>2</v>
      </c>
      <c r="E44" s="6">
        <f>SUM('By Lot - West Campus'!G846:G847,'By Lot - West Campus'!G863:G864)</f>
        <v>0</v>
      </c>
      <c r="F44" s="6">
        <f>SUM('By Lot - West Campus'!H846:H847,'By Lot - West Campus'!H863:H864)</f>
        <v>0</v>
      </c>
      <c r="G44" s="6">
        <f>SUM('By Lot - West Campus'!I846:I847,'By Lot - West Campus'!I863:I864)</f>
        <v>2</v>
      </c>
      <c r="H44" s="6">
        <f>SUM('By Lot - West Campus'!J846:J847,'By Lot - West Campus'!J863:J864)</f>
        <v>2</v>
      </c>
      <c r="I44" s="6">
        <f>SUM('By Lot - West Campus'!K846:K847,'By Lot - West Campus'!K863:K864)</f>
        <v>0</v>
      </c>
      <c r="J44" s="6">
        <f>SUM('By Lot - West Campus'!L846:L847,'By Lot - West Campus'!L863:L864)</f>
        <v>3</v>
      </c>
      <c r="K44" s="6">
        <f>SUM('By Lot - West Campus'!M846:M847,'By Lot - West Campus'!M863:M864)</f>
        <v>4</v>
      </c>
      <c r="L44" s="6">
        <f>SUM('By Lot - West Campus'!N846:N847,'By Lot - West Campus'!N863:N864)</f>
        <v>6</v>
      </c>
      <c r="M44" s="31">
        <f>SUM('By Lot - West Campus'!O846:O847,'By Lot - West Campus'!O863:O864)</f>
        <v>7</v>
      </c>
      <c r="N44" s="32">
        <f t="shared" si="12"/>
        <v>0</v>
      </c>
      <c r="O44" s="6">
        <f t="shared" si="13"/>
        <v>9</v>
      </c>
      <c r="P44" s="59">
        <f t="shared" si="14"/>
        <v>1</v>
      </c>
      <c r="Q44" s="6"/>
    </row>
    <row r="45" spans="1:17" ht="11.25" customHeight="1" outlineLevel="1" x14ac:dyDescent="0.4">
      <c r="A45" s="17" t="s">
        <v>251</v>
      </c>
      <c r="B45" s="17" t="s">
        <v>308</v>
      </c>
      <c r="C45" s="17">
        <f>SUM('By Lot - West Campus'!E848,'By Lot - West Campus'!E865)</f>
        <v>4</v>
      </c>
      <c r="D45" s="32">
        <f>SUM('By Lot - West Campus'!F848,'By Lot - West Campus'!F865)</f>
        <v>3</v>
      </c>
      <c r="E45" s="6">
        <f>SUM('By Lot - West Campus'!G848,'By Lot - West Campus'!G865)</f>
        <v>2</v>
      </c>
      <c r="F45" s="6">
        <f>SUM('By Lot - West Campus'!H848,'By Lot - West Campus'!H865)</f>
        <v>2</v>
      </c>
      <c r="G45" s="6">
        <f>SUM('By Lot - West Campus'!I848,'By Lot - West Campus'!I865)</f>
        <v>2</v>
      </c>
      <c r="H45" s="6">
        <f>SUM('By Lot - West Campus'!J848,'By Lot - West Campus'!J865)</f>
        <v>1</v>
      </c>
      <c r="I45" s="6">
        <f>SUM('By Lot - West Campus'!K848,'By Lot - West Campus'!K865)</f>
        <v>3</v>
      </c>
      <c r="J45" s="6">
        <f>SUM('By Lot - West Campus'!L848,'By Lot - West Campus'!L865)</f>
        <v>2</v>
      </c>
      <c r="K45" s="6">
        <f>SUM('By Lot - West Campus'!M848,'By Lot - West Campus'!M865)</f>
        <v>4</v>
      </c>
      <c r="L45" s="6">
        <f>SUM('By Lot - West Campus'!N848,'By Lot - West Campus'!N865)</f>
        <v>4</v>
      </c>
      <c r="M45" s="31">
        <f>SUM('By Lot - West Campus'!O848,'By Lot - West Campus'!O865)</f>
        <v>4</v>
      </c>
      <c r="N45" s="32">
        <f t="shared" si="12"/>
        <v>1</v>
      </c>
      <c r="O45" s="6">
        <f t="shared" si="13"/>
        <v>3</v>
      </c>
      <c r="P45" s="59">
        <f t="shared" si="14"/>
        <v>0.75</v>
      </c>
      <c r="Q45" s="6"/>
    </row>
    <row r="46" spans="1:17" ht="11.25" customHeight="1" outlineLevel="1" x14ac:dyDescent="0.4">
      <c r="A46" s="17"/>
      <c r="B46" s="17" t="s">
        <v>309</v>
      </c>
      <c r="C46" s="17">
        <f>SUM('By Lot - West Campus'!E849:E854,'By Lot - West Campus'!E866:E871)</f>
        <v>38</v>
      </c>
      <c r="D46" s="32">
        <f>SUM('By Lot - West Campus'!F849:F854,'By Lot - West Campus'!F866:F871)</f>
        <v>27</v>
      </c>
      <c r="E46" s="6">
        <f>SUM('By Lot - West Campus'!G849:G854,'By Lot - West Campus'!G866:G871)</f>
        <v>17</v>
      </c>
      <c r="F46" s="6">
        <f>SUM('By Lot - West Campus'!H849:H854,'By Lot - West Campus'!H866:H871)</f>
        <v>12</v>
      </c>
      <c r="G46" s="6">
        <f>SUM('By Lot - West Campus'!I849:I854,'By Lot - West Campus'!I866:I871)</f>
        <v>10</v>
      </c>
      <c r="H46" s="6">
        <f>SUM('By Lot - West Campus'!J849:J854,'By Lot - West Campus'!J866:J871)</f>
        <v>11</v>
      </c>
      <c r="I46" s="6">
        <f>SUM('By Lot - West Campus'!K849:K854,'By Lot - West Campus'!K866:K871)</f>
        <v>15</v>
      </c>
      <c r="J46" s="6">
        <f>SUM('By Lot - West Campus'!L849:L854,'By Lot - West Campus'!L866:L871)</f>
        <v>17</v>
      </c>
      <c r="K46" s="6">
        <f>SUM('By Lot - West Campus'!M849:M854,'By Lot - West Campus'!M866:M871)</f>
        <v>24</v>
      </c>
      <c r="L46" s="6">
        <f>SUM('By Lot - West Campus'!N849:N854,'By Lot - West Campus'!N866:N871)</f>
        <v>27</v>
      </c>
      <c r="M46" s="31">
        <f>SUM('By Lot - West Campus'!O849:O854,'By Lot - West Campus'!O866:O871)</f>
        <v>30</v>
      </c>
      <c r="N46" s="32">
        <f t="shared" si="12"/>
        <v>10</v>
      </c>
      <c r="O46" s="6">
        <f t="shared" si="13"/>
        <v>28</v>
      </c>
      <c r="P46" s="59">
        <f t="shared" si="14"/>
        <v>0.73684210526315785</v>
      </c>
      <c r="Q46" s="6"/>
    </row>
    <row r="47" spans="1:17" ht="11.25" customHeight="1" outlineLevel="1" x14ac:dyDescent="0.4">
      <c r="A47" s="17"/>
      <c r="B47" s="17" t="s">
        <v>310</v>
      </c>
      <c r="C47" s="17">
        <f>SUM('By Lot - West Campus'!E855,'By Lot - West Campus'!E872)</f>
        <v>10</v>
      </c>
      <c r="D47" s="32">
        <f>SUM('By Lot - West Campus'!F855,'By Lot - West Campus'!F872)</f>
        <v>6</v>
      </c>
      <c r="E47" s="6">
        <f>SUM('By Lot - West Campus'!G855,'By Lot - West Campus'!G872)</f>
        <v>6</v>
      </c>
      <c r="F47" s="6">
        <f>SUM('By Lot - West Campus'!H855,'By Lot - West Campus'!H872)</f>
        <v>4</v>
      </c>
      <c r="G47" s="6">
        <f>SUM('By Lot - West Campus'!I855,'By Lot - West Campus'!I872)</f>
        <v>3</v>
      </c>
      <c r="H47" s="6">
        <f>SUM('By Lot - West Campus'!J855,'By Lot - West Campus'!J872)</f>
        <v>4</v>
      </c>
      <c r="I47" s="6">
        <f>SUM('By Lot - West Campus'!K855,'By Lot - West Campus'!K872)</f>
        <v>3</v>
      </c>
      <c r="J47" s="6">
        <f>SUM('By Lot - West Campus'!L855,'By Lot - West Campus'!L872)</f>
        <v>4</v>
      </c>
      <c r="K47" s="6">
        <f>SUM('By Lot - West Campus'!M855,'By Lot - West Campus'!M872)</f>
        <v>10</v>
      </c>
      <c r="L47" s="6">
        <f>SUM('By Lot - West Campus'!N855,'By Lot - West Campus'!N872)</f>
        <v>10</v>
      </c>
      <c r="M47" s="31">
        <f>SUM('By Lot - West Campus'!O855,'By Lot - West Campus'!O872)</f>
        <v>10</v>
      </c>
      <c r="N47" s="32">
        <f t="shared" si="12"/>
        <v>3</v>
      </c>
      <c r="O47" s="6">
        <f t="shared" si="13"/>
        <v>7</v>
      </c>
      <c r="P47" s="59">
        <f t="shared" si="14"/>
        <v>0.7</v>
      </c>
      <c r="Q47" s="6"/>
    </row>
    <row r="48" spans="1:17" ht="11.25" customHeight="1" outlineLevel="1" x14ac:dyDescent="0.4">
      <c r="A48" s="17"/>
      <c r="B48" s="17" t="s">
        <v>311</v>
      </c>
      <c r="C48" s="17">
        <f>SUM('By Lot - West Campus'!E856,'By Lot - West Campus'!E873)</f>
        <v>7</v>
      </c>
      <c r="D48" s="32">
        <f>SUM('By Lot - West Campus'!F856,'By Lot - West Campus'!F873)</f>
        <v>5</v>
      </c>
      <c r="E48" s="6">
        <f>SUM('By Lot - West Campus'!G856,'By Lot - West Campus'!G873)</f>
        <v>5</v>
      </c>
      <c r="F48" s="6">
        <f>SUM('By Lot - West Campus'!H856,'By Lot - West Campus'!H873)</f>
        <v>3</v>
      </c>
      <c r="G48" s="6">
        <f>SUM('By Lot - West Campus'!I856,'By Lot - West Campus'!I873)</f>
        <v>3</v>
      </c>
      <c r="H48" s="6">
        <f>SUM('By Lot - West Campus'!J856,'By Lot - West Campus'!J873)</f>
        <v>3</v>
      </c>
      <c r="I48" s="6">
        <f>SUM('By Lot - West Campus'!K856,'By Lot - West Campus'!K873)</f>
        <v>3</v>
      </c>
      <c r="J48" s="6">
        <f>SUM('By Lot - West Campus'!L856,'By Lot - West Campus'!L873)</f>
        <v>3</v>
      </c>
      <c r="K48" s="6">
        <f>SUM('By Lot - West Campus'!M856,'By Lot - West Campus'!M873)</f>
        <v>5</v>
      </c>
      <c r="L48" s="6">
        <f>SUM('By Lot - West Campus'!N856,'By Lot - West Campus'!N873)</f>
        <v>5</v>
      </c>
      <c r="M48" s="31">
        <f>SUM('By Lot - West Campus'!O856,'By Lot - West Campus'!O873)</f>
        <v>5</v>
      </c>
      <c r="N48" s="32">
        <f t="shared" si="12"/>
        <v>3</v>
      </c>
      <c r="O48" s="6">
        <f t="shared" si="13"/>
        <v>4</v>
      </c>
      <c r="P48" s="59">
        <f t="shared" si="14"/>
        <v>0.5714285714285714</v>
      </c>
      <c r="Q48" s="6"/>
    </row>
    <row r="49" spans="1:17" ht="11.25" customHeight="1" outlineLevel="1" x14ac:dyDescent="0.4">
      <c r="A49" s="17"/>
      <c r="B49" s="17" t="s">
        <v>312</v>
      </c>
      <c r="C49" s="17"/>
      <c r="D49" s="32"/>
      <c r="E49" s="6"/>
      <c r="F49" s="6"/>
      <c r="G49" s="6"/>
      <c r="H49" s="6"/>
      <c r="I49" s="6"/>
      <c r="J49" s="6"/>
      <c r="K49" s="6"/>
      <c r="L49" s="6"/>
      <c r="M49" s="31"/>
      <c r="N49" s="32"/>
      <c r="O49" s="6"/>
      <c r="P49" s="59"/>
      <c r="Q49" s="6"/>
    </row>
    <row r="50" spans="1:17" ht="11.25" customHeight="1" outlineLevel="1" x14ac:dyDescent="0.4">
      <c r="A50" s="17"/>
      <c r="B50" s="17" t="s">
        <v>313</v>
      </c>
      <c r="C50" s="17">
        <f>SUM('By Lot - West Campus'!E858,'By Lot - West Campus'!E875)</f>
        <v>1</v>
      </c>
      <c r="D50" s="32">
        <f>SUM('By Lot - West Campus'!F858,'By Lot - West Campus'!F875)</f>
        <v>1</v>
      </c>
      <c r="E50" s="6">
        <f>SUM('By Lot - West Campus'!G858,'By Lot - West Campus'!G875)</f>
        <v>1</v>
      </c>
      <c r="F50" s="6">
        <f>SUM('By Lot - West Campus'!H858,'By Lot - West Campus'!H875)</f>
        <v>1</v>
      </c>
      <c r="G50" s="6">
        <f>SUM('By Lot - West Campus'!I858,'By Lot - West Campus'!I875)</f>
        <v>0</v>
      </c>
      <c r="H50" s="6">
        <f>SUM('By Lot - West Campus'!J858,'By Lot - West Campus'!J875)</f>
        <v>0</v>
      </c>
      <c r="I50" s="6">
        <f>SUM('By Lot - West Campus'!K858,'By Lot - West Campus'!K875)</f>
        <v>0</v>
      </c>
      <c r="J50" s="6">
        <f>SUM('By Lot - West Campus'!L858,'By Lot - West Campus'!L875)</f>
        <v>1</v>
      </c>
      <c r="K50" s="6">
        <f>SUM('By Lot - West Campus'!M858,'By Lot - West Campus'!M875)</f>
        <v>1</v>
      </c>
      <c r="L50" s="6">
        <f>SUM('By Lot - West Campus'!N858,'By Lot - West Campus'!N875)</f>
        <v>1</v>
      </c>
      <c r="M50" s="31">
        <f>SUM('By Lot - West Campus'!O858,'By Lot - West Campus'!O875)</f>
        <v>1</v>
      </c>
      <c r="N50" s="32">
        <f t="shared" ref="N50:N51" si="15">MIN(D50:M50)</f>
        <v>0</v>
      </c>
      <c r="O50" s="6">
        <f t="shared" ref="O50:O51" si="16">C50-N50</f>
        <v>1</v>
      </c>
      <c r="P50" s="59">
        <f t="shared" ref="P50:P51" si="17">O50/C50</f>
        <v>1</v>
      </c>
      <c r="Q50" s="6"/>
    </row>
    <row r="51" spans="1:17" ht="11.25" customHeight="1" x14ac:dyDescent="0.4">
      <c r="A51" s="442"/>
      <c r="B51" s="443" t="s">
        <v>314</v>
      </c>
      <c r="C51" s="443">
        <f t="shared" ref="C51:M51" si="18">SUM(C41:C50)</f>
        <v>442</v>
      </c>
      <c r="D51" s="444">
        <f t="shared" si="18"/>
        <v>281</v>
      </c>
      <c r="E51" s="445">
        <f t="shared" si="18"/>
        <v>261</v>
      </c>
      <c r="F51" s="445">
        <f t="shared" si="18"/>
        <v>243</v>
      </c>
      <c r="G51" s="445">
        <f t="shared" si="18"/>
        <v>244</v>
      </c>
      <c r="H51" s="445">
        <f t="shared" si="18"/>
        <v>255</v>
      </c>
      <c r="I51" s="445">
        <f t="shared" si="18"/>
        <v>270</v>
      </c>
      <c r="J51" s="445">
        <f t="shared" si="18"/>
        <v>297</v>
      </c>
      <c r="K51" s="445">
        <f t="shared" si="18"/>
        <v>338</v>
      </c>
      <c r="L51" s="445">
        <f t="shared" si="18"/>
        <v>370</v>
      </c>
      <c r="M51" s="446">
        <f t="shared" si="18"/>
        <v>399</v>
      </c>
      <c r="N51" s="444">
        <f t="shared" si="15"/>
        <v>243</v>
      </c>
      <c r="O51" s="445">
        <f t="shared" si="16"/>
        <v>199</v>
      </c>
      <c r="P51" s="447">
        <f t="shared" si="17"/>
        <v>0.45022624434389141</v>
      </c>
      <c r="Q51" s="6"/>
    </row>
    <row r="52" spans="1:17" ht="11.25" customHeight="1" outlineLevel="1" x14ac:dyDescent="0.4">
      <c r="A52" s="17" t="s">
        <v>343</v>
      </c>
      <c r="B52" s="17" t="s">
        <v>300</v>
      </c>
      <c r="C52" s="17"/>
      <c r="D52" s="32"/>
      <c r="E52" s="6"/>
      <c r="F52" s="6"/>
      <c r="G52" s="6"/>
      <c r="H52" s="6"/>
      <c r="I52" s="6"/>
      <c r="J52" s="6"/>
      <c r="K52" s="6"/>
      <c r="L52" s="6"/>
      <c r="M52" s="31"/>
      <c r="N52" s="32"/>
      <c r="O52" s="6"/>
      <c r="P52" s="59"/>
      <c r="Q52" s="6"/>
    </row>
    <row r="53" spans="1:17" ht="11.25" customHeight="1" outlineLevel="1" x14ac:dyDescent="0.4">
      <c r="A53" s="17" t="s">
        <v>344</v>
      </c>
      <c r="B53" s="17" t="s">
        <v>301</v>
      </c>
      <c r="C53" s="17">
        <f>SUM('By Lot - West Campus'!E946,'By Lot - West Campus'!E964,'By Lot - West Campus'!E981,'By Lot - West Campus'!E998,'By Lot - West Campus'!E1015)</f>
        <v>200</v>
      </c>
      <c r="D53" s="32">
        <f>SUM('By Lot - West Campus'!F946,'By Lot - West Campus'!F964,'By Lot - West Campus'!F981,'By Lot - West Campus'!F998,'By Lot - West Campus'!F1015)</f>
        <v>186</v>
      </c>
      <c r="E53" s="6">
        <f>SUM('By Lot - West Campus'!G946,'By Lot - West Campus'!G964,'By Lot - West Campus'!G981,'By Lot - West Campus'!G998,'By Lot - West Campus'!G1015)</f>
        <v>177</v>
      </c>
      <c r="F53" s="6">
        <f>SUM('By Lot - West Campus'!H946,'By Lot - West Campus'!H964,'By Lot - West Campus'!H981,'By Lot - West Campus'!H998,'By Lot - West Campus'!H1015)</f>
        <v>174</v>
      </c>
      <c r="G53" s="6">
        <f>SUM('By Lot - West Campus'!I946,'By Lot - West Campus'!I964,'By Lot - West Campus'!I981,'By Lot - West Campus'!I998,'By Lot - West Campus'!I1015)</f>
        <v>169</v>
      </c>
      <c r="H53" s="6">
        <f>SUM('By Lot - West Campus'!J946,'By Lot - West Campus'!J964,'By Lot - West Campus'!J981,'By Lot - West Campus'!J998,'By Lot - West Campus'!J1015)</f>
        <v>169</v>
      </c>
      <c r="I53" s="6">
        <f>SUM('By Lot - West Campus'!K946,'By Lot - West Campus'!K964,'By Lot - West Campus'!K981,'By Lot - West Campus'!K998,'By Lot - West Campus'!K1015)</f>
        <v>166</v>
      </c>
      <c r="J53" s="6">
        <f>SUM('By Lot - West Campus'!L946,'By Lot - West Campus'!L964,'By Lot - West Campus'!L981,'By Lot - West Campus'!L998,'By Lot - West Campus'!L1015)</f>
        <v>166</v>
      </c>
      <c r="K53" s="6">
        <f>SUM('By Lot - West Campus'!M946,'By Lot - West Campus'!M964,'By Lot - West Campus'!M981,'By Lot - West Campus'!M998,'By Lot - West Campus'!M1015)</f>
        <v>172</v>
      </c>
      <c r="L53" s="6">
        <f>SUM('By Lot - West Campus'!N946,'By Lot - West Campus'!N964,'By Lot - West Campus'!N981,'By Lot - West Campus'!N998,'By Lot - West Campus'!N1015)</f>
        <v>175</v>
      </c>
      <c r="M53" s="31">
        <f>SUM('By Lot - West Campus'!O946,'By Lot - West Campus'!O964,'By Lot - West Campus'!O981,'By Lot - West Campus'!O998,'By Lot - West Campus'!O1015)</f>
        <v>182</v>
      </c>
      <c r="N53" s="32">
        <f t="shared" ref="N53:N58" si="19">MIN(D53:M53)</f>
        <v>166</v>
      </c>
      <c r="O53" s="6">
        <f t="shared" ref="O53:O58" si="20">C53-N53</f>
        <v>34</v>
      </c>
      <c r="P53" s="59">
        <f t="shared" ref="P53:P58" si="21">O53/C53</f>
        <v>0.17</v>
      </c>
      <c r="Q53" s="6"/>
    </row>
    <row r="54" spans="1:17" ht="11.25" customHeight="1" outlineLevel="1" x14ac:dyDescent="0.4">
      <c r="A54" s="17" t="s">
        <v>12</v>
      </c>
      <c r="B54" s="17" t="s">
        <v>303</v>
      </c>
      <c r="C54" s="17">
        <f>SUM('By Lot - West Campus'!E947,'By Lot - West Campus'!E965,'By Lot - West Campus'!E982,'By Lot - West Campus'!E999,'By Lot - West Campus'!E1016)</f>
        <v>5</v>
      </c>
      <c r="D54" s="32">
        <f>SUM('By Lot - West Campus'!F947,'By Lot - West Campus'!F965,'By Lot - West Campus'!F982,'By Lot - West Campus'!F999,'By Lot - West Campus'!F1016)</f>
        <v>5</v>
      </c>
      <c r="E54" s="6">
        <f>SUM('By Lot - West Campus'!G947,'By Lot - West Campus'!G965,'By Lot - West Campus'!G982,'By Lot - West Campus'!G999,'By Lot - West Campus'!G1016)</f>
        <v>5</v>
      </c>
      <c r="F54" s="6">
        <f>SUM('By Lot - West Campus'!H947,'By Lot - West Campus'!H965,'By Lot - West Campus'!H982,'By Lot - West Campus'!H999,'By Lot - West Campus'!H1016)</f>
        <v>5</v>
      </c>
      <c r="G54" s="6">
        <f>SUM('By Lot - West Campus'!I947,'By Lot - West Campus'!I965,'By Lot - West Campus'!I982,'By Lot - West Campus'!I999,'By Lot - West Campus'!I1016)</f>
        <v>5</v>
      </c>
      <c r="H54" s="6">
        <f>SUM('By Lot - West Campus'!J947,'By Lot - West Campus'!J965,'By Lot - West Campus'!J982,'By Lot - West Campus'!J999,'By Lot - West Campus'!J1016)</f>
        <v>5</v>
      </c>
      <c r="I54" s="6">
        <f>SUM('By Lot - West Campus'!K947,'By Lot - West Campus'!K965,'By Lot - West Campus'!K982,'By Lot - West Campus'!K999,'By Lot - West Campus'!K1016)</f>
        <v>5</v>
      </c>
      <c r="J54" s="6">
        <f>SUM('By Lot - West Campus'!L947,'By Lot - West Campus'!L965,'By Lot - West Campus'!L982,'By Lot - West Campus'!L999,'By Lot - West Campus'!L1016)</f>
        <v>5</v>
      </c>
      <c r="K54" s="6">
        <f>SUM('By Lot - West Campus'!M947,'By Lot - West Campus'!M965,'By Lot - West Campus'!M982,'By Lot - West Campus'!M999,'By Lot - West Campus'!M1016)</f>
        <v>5</v>
      </c>
      <c r="L54" s="6">
        <f>SUM('By Lot - West Campus'!N947,'By Lot - West Campus'!N965,'By Lot - West Campus'!N982,'By Lot - West Campus'!N999,'By Lot - West Campus'!N1016)</f>
        <v>5</v>
      </c>
      <c r="M54" s="31">
        <f>SUM('By Lot - West Campus'!O947,'By Lot - West Campus'!O965,'By Lot - West Campus'!O982,'By Lot - West Campus'!O999,'By Lot - West Campus'!O1016)</f>
        <v>5</v>
      </c>
      <c r="N54" s="32">
        <f t="shared" si="19"/>
        <v>5</v>
      </c>
      <c r="O54" s="6">
        <f t="shared" si="20"/>
        <v>0</v>
      </c>
      <c r="P54" s="59">
        <f t="shared" si="21"/>
        <v>0</v>
      </c>
      <c r="Q54" s="6"/>
    </row>
    <row r="55" spans="1:17" ht="11.25" customHeight="1" outlineLevel="1" x14ac:dyDescent="0.4">
      <c r="A55" s="17" t="s">
        <v>21</v>
      </c>
      <c r="B55" s="17" t="s">
        <v>307</v>
      </c>
      <c r="C55" s="17">
        <f>SUM('By Lot - West Campus'!E948,'By Lot - West Campus'!E966,'By Lot - West Campus'!E983,'By Lot - West Campus'!E1000,'By Lot - West Campus'!E1017)</f>
        <v>10</v>
      </c>
      <c r="D55" s="32">
        <f>SUM('By Lot - West Campus'!F948,'By Lot - West Campus'!F966,'By Lot - West Campus'!F983,'By Lot - West Campus'!F1000,'By Lot - West Campus'!F1017)</f>
        <v>9</v>
      </c>
      <c r="E55" s="6">
        <f>SUM('By Lot - West Campus'!G948,'By Lot - West Campus'!G966,'By Lot - West Campus'!G983,'By Lot - West Campus'!G1000,'By Lot - West Campus'!G1017)</f>
        <v>8</v>
      </c>
      <c r="F55" s="6">
        <f>SUM('By Lot - West Campus'!H948,'By Lot - West Campus'!H966,'By Lot - West Campus'!H983,'By Lot - West Campus'!H1000,'By Lot - West Campus'!H1017)</f>
        <v>8</v>
      </c>
      <c r="G55" s="6">
        <f>SUM('By Lot - West Campus'!I948,'By Lot - West Campus'!I966,'By Lot - West Campus'!I983,'By Lot - West Campus'!I1000,'By Lot - West Campus'!I1017)</f>
        <v>7</v>
      </c>
      <c r="H55" s="6">
        <f>SUM('By Lot - West Campus'!J948,'By Lot - West Campus'!J966,'By Lot - West Campus'!J983,'By Lot - West Campus'!J1000,'By Lot - West Campus'!J1017)</f>
        <v>9</v>
      </c>
      <c r="I55" s="6">
        <f>SUM('By Lot - West Campus'!K948,'By Lot - West Campus'!K966,'By Lot - West Campus'!K983,'By Lot - West Campus'!K1000,'By Lot - West Campus'!K1017)</f>
        <v>9</v>
      </c>
      <c r="J55" s="6">
        <f>SUM('By Lot - West Campus'!L948,'By Lot - West Campus'!L966,'By Lot - West Campus'!L983,'By Lot - West Campus'!L1000,'By Lot - West Campus'!L1017)</f>
        <v>10</v>
      </c>
      <c r="K55" s="6">
        <f>SUM('By Lot - West Campus'!M948,'By Lot - West Campus'!M966,'By Lot - West Campus'!M983,'By Lot - West Campus'!M1000,'By Lot - West Campus'!M1017)</f>
        <v>10</v>
      </c>
      <c r="L55" s="6">
        <f>SUM('By Lot - West Campus'!N948,'By Lot - West Campus'!N966,'By Lot - West Campus'!N983,'By Lot - West Campus'!N1000,'By Lot - West Campus'!N1017)</f>
        <v>8</v>
      </c>
      <c r="M55" s="31">
        <f>SUM('By Lot - West Campus'!O948,'By Lot - West Campus'!O966,'By Lot - West Campus'!O983,'By Lot - West Campus'!O1000,'By Lot - West Campus'!O1017)</f>
        <v>10</v>
      </c>
      <c r="N55" s="32">
        <f t="shared" si="19"/>
        <v>7</v>
      </c>
      <c r="O55" s="6">
        <f t="shared" si="20"/>
        <v>3</v>
      </c>
      <c r="P55" s="59">
        <f t="shared" si="21"/>
        <v>0.3</v>
      </c>
      <c r="Q55" s="6"/>
    </row>
    <row r="56" spans="1:17" ht="11.25" customHeight="1" outlineLevel="1" x14ac:dyDescent="0.4">
      <c r="A56" s="17" t="s">
        <v>264</v>
      </c>
      <c r="B56" s="17" t="s">
        <v>308</v>
      </c>
      <c r="C56" s="17">
        <f>SUM('By Lot - West Campus'!E950,'By Lot - West Campus'!E968,'By Lot - West Campus'!E985,'By Lot - West Campus'!E1002, 'By Lot - West Campus'!E1019)</f>
        <v>10</v>
      </c>
      <c r="D56" s="32">
        <f>SUM('By Lot - West Campus'!F950,'By Lot - West Campus'!F968,'By Lot - West Campus'!F985,'By Lot - West Campus'!F1002, ,'By Lot - West Campus'!F1019)</f>
        <v>10</v>
      </c>
      <c r="E56" s="6">
        <f>SUM('By Lot - West Campus'!G950,'By Lot - West Campus'!G968,'By Lot - West Campus'!G985,'By Lot - West Campus'!G1002, ,'By Lot - West Campus'!G1019)</f>
        <v>9</v>
      </c>
      <c r="F56" s="6">
        <f>SUM('By Lot - West Campus'!H950,'By Lot - West Campus'!H968,'By Lot - West Campus'!H985,'By Lot - West Campus'!H1002, ,'By Lot - West Campus'!H1019)</f>
        <v>8</v>
      </c>
      <c r="G56" s="6">
        <f>SUM('By Lot - West Campus'!I950,'By Lot - West Campus'!I968,'By Lot - West Campus'!I985,'By Lot - West Campus'!I1002, ,'By Lot - West Campus'!I1019)</f>
        <v>7</v>
      </c>
      <c r="H56" s="6">
        <f>SUM('By Lot - West Campus'!J950,'By Lot - West Campus'!J968,'By Lot - West Campus'!J985,'By Lot - West Campus'!J1002, ,'By Lot - West Campus'!J1019)</f>
        <v>9</v>
      </c>
      <c r="I56" s="6">
        <f>SUM('By Lot - West Campus'!K950,'By Lot - West Campus'!K968,'By Lot - West Campus'!K985,'By Lot - West Campus'!K1002, ,'By Lot - West Campus'!K1019)</f>
        <v>8</v>
      </c>
      <c r="J56" s="6">
        <f>SUM('By Lot - West Campus'!L950,'By Lot - West Campus'!L968,'By Lot - West Campus'!L985,'By Lot - West Campus'!L1002, ,'By Lot - West Campus'!L1019)</f>
        <v>10</v>
      </c>
      <c r="K56" s="6">
        <f>SUM('By Lot - West Campus'!M950,'By Lot - West Campus'!M968,'By Lot - West Campus'!M985,'By Lot - West Campus'!M1002, ,'By Lot - West Campus'!M1019)</f>
        <v>10</v>
      </c>
      <c r="L56" s="6">
        <f>SUM('By Lot - West Campus'!N950,'By Lot - West Campus'!N968,'By Lot - West Campus'!N985,'By Lot - West Campus'!N1002, ,'By Lot - West Campus'!N1019)</f>
        <v>10</v>
      </c>
      <c r="M56" s="31">
        <f>SUM('By Lot - West Campus'!O950,'By Lot - West Campus'!O968,'By Lot - West Campus'!O985,'By Lot - West Campus'!O1002, ,'By Lot - West Campus'!O1019)</f>
        <v>10</v>
      </c>
      <c r="N56" s="32">
        <f t="shared" si="19"/>
        <v>7</v>
      </c>
      <c r="O56" s="6">
        <f t="shared" si="20"/>
        <v>3</v>
      </c>
      <c r="P56" s="59">
        <f t="shared" si="21"/>
        <v>0.3</v>
      </c>
      <c r="Q56" s="6"/>
    </row>
    <row r="57" spans="1:17" ht="11.25" customHeight="1" outlineLevel="1" x14ac:dyDescent="0.4">
      <c r="A57" s="17"/>
      <c r="B57" s="17" t="s">
        <v>309</v>
      </c>
      <c r="C57" s="17">
        <f>SUM('By Lot - West Campus'!E951:E956,'By Lot - West Campus'!E969:E974,'By Lot - West Campus'!E986:E991,'By Lot - West Campus'!E1003:E1008,'By Lot - West Campus'!E1020:E1025)</f>
        <v>2</v>
      </c>
      <c r="D57" s="32">
        <f>SUM('By Lot - West Campus'!F951:F956,'By Lot - West Campus'!F969:F974,'By Lot - West Campus'!F986:F991,'By Lot - West Campus'!F1003:F1008,'By Lot - West Campus'!F1020:F1025)</f>
        <v>2</v>
      </c>
      <c r="E57" s="6">
        <f>SUM('By Lot - West Campus'!G951:G956,'By Lot - West Campus'!G969:G974,'By Lot - West Campus'!G986:G991,'By Lot - West Campus'!G1003:G1008,'By Lot - West Campus'!G1020:G1025)</f>
        <v>2</v>
      </c>
      <c r="F57" s="6">
        <f>SUM('By Lot - West Campus'!H951:H956,'By Lot - West Campus'!H969:H974,'By Lot - West Campus'!H986:H991,'By Lot - West Campus'!H1003:H1008,'By Lot - West Campus'!H1020:H1025)</f>
        <v>2</v>
      </c>
      <c r="G57" s="6">
        <f>SUM('By Lot - West Campus'!I951:I956,'By Lot - West Campus'!I969:I974,'By Lot - West Campus'!I986:I991,'By Lot - West Campus'!I1003:I1008,'By Lot - West Campus'!I1020:I1025)</f>
        <v>1</v>
      </c>
      <c r="H57" s="6">
        <f>SUM('By Lot - West Campus'!J951:J956,'By Lot - West Campus'!J969:J974,'By Lot - West Campus'!J986:J991,'By Lot - West Campus'!J1003:J1008,'By Lot - West Campus'!J1020:J1025)</f>
        <v>1</v>
      </c>
      <c r="I57" s="6">
        <f>SUM('By Lot - West Campus'!K951:K956,'By Lot - West Campus'!K969:K974,'By Lot - West Campus'!K986:K991,'By Lot - West Campus'!K1003:K1008,'By Lot - West Campus'!K1020:K1025)</f>
        <v>2</v>
      </c>
      <c r="J57" s="6">
        <f>SUM('By Lot - West Campus'!L951:L956,'By Lot - West Campus'!L969:L974,'By Lot - West Campus'!L986:L991,'By Lot - West Campus'!L1003:L1008,'By Lot - West Campus'!L1020:L1025)</f>
        <v>2</v>
      </c>
      <c r="K57" s="6">
        <f>SUM('By Lot - West Campus'!M951:M956,'By Lot - West Campus'!M969:M974,'By Lot - West Campus'!M986:M991,'By Lot - West Campus'!M1003:M1008,'By Lot - West Campus'!M1020:M1025)</f>
        <v>2</v>
      </c>
      <c r="L57" s="6">
        <f>SUM('By Lot - West Campus'!N951:N956,'By Lot - West Campus'!N969:N974,'By Lot - West Campus'!N986:N991,'By Lot - West Campus'!N1003:N1008,'By Lot - West Campus'!N1020:N1025)</f>
        <v>2</v>
      </c>
      <c r="M57" s="31">
        <f>SUM('By Lot - West Campus'!O951:O956,'By Lot - West Campus'!O969:O974,'By Lot - West Campus'!O986:O991,'By Lot - West Campus'!O1003:O1008,'By Lot - West Campus'!O1020:O1025)</f>
        <v>2</v>
      </c>
      <c r="N57" s="32">
        <f t="shared" si="19"/>
        <v>1</v>
      </c>
      <c r="O57" s="6">
        <f t="shared" si="20"/>
        <v>1</v>
      </c>
      <c r="P57" s="59">
        <f t="shared" si="21"/>
        <v>0.5</v>
      </c>
      <c r="Q57" s="6"/>
    </row>
    <row r="58" spans="1:17" ht="11.25" customHeight="1" outlineLevel="1" x14ac:dyDescent="0.4">
      <c r="A58" s="17"/>
      <c r="B58" s="17" t="s">
        <v>310</v>
      </c>
      <c r="C58" s="17">
        <f>SUM('By Lot - West Campus'!E957,'By Lot - West Campus'!E975,'By Lot - West Campus'!E992,'By Lot - West Campus'!E1009, 'By Lot - West Campus'!E1026)</f>
        <v>3</v>
      </c>
      <c r="D58" s="32">
        <f>SUM('By Lot - West Campus'!F957,'By Lot - West Campus'!F975,'By Lot - West Campus'!F992,'By Lot - West Campus'!F1009, 'By Lot - West Campus'!F1026)</f>
        <v>2</v>
      </c>
      <c r="E58" s="6">
        <f>SUM('By Lot - West Campus'!G957,'By Lot - West Campus'!G975,'By Lot - West Campus'!G992,'By Lot - West Campus'!G1009, 'By Lot - West Campus'!G1026)</f>
        <v>1</v>
      </c>
      <c r="F58" s="6">
        <f>SUM('By Lot - West Campus'!H957,'By Lot - West Campus'!H975,'By Lot - West Campus'!H992,'By Lot - West Campus'!H1009, 'By Lot - West Campus'!H1026)</f>
        <v>1</v>
      </c>
      <c r="G58" s="6">
        <f>SUM('By Lot - West Campus'!I957,'By Lot - West Campus'!I975,'By Lot - West Campus'!I992,'By Lot - West Campus'!I1009, 'By Lot - West Campus'!I1026)</f>
        <v>1</v>
      </c>
      <c r="H58" s="6">
        <f>SUM('By Lot - West Campus'!J957,'By Lot - West Campus'!J975,'By Lot - West Campus'!J992,'By Lot - West Campus'!J1009, 'By Lot - West Campus'!J1026)</f>
        <v>2</v>
      </c>
      <c r="I58" s="6">
        <f>SUM('By Lot - West Campus'!K957,'By Lot - West Campus'!K975,'By Lot - West Campus'!K992,'By Lot - West Campus'!K1009, 'By Lot - West Campus'!K1026)</f>
        <v>2</v>
      </c>
      <c r="J58" s="6">
        <f>SUM('By Lot - West Campus'!L957,'By Lot - West Campus'!L975,'By Lot - West Campus'!L992,'By Lot - West Campus'!L1009, 'By Lot - West Campus'!L1026)</f>
        <v>2</v>
      </c>
      <c r="K58" s="6">
        <f>SUM('By Lot - West Campus'!M957,'By Lot - West Campus'!M975,'By Lot - West Campus'!M992,'By Lot - West Campus'!M1009, 'By Lot - West Campus'!M1026)</f>
        <v>3</v>
      </c>
      <c r="L58" s="6">
        <f>SUM('By Lot - West Campus'!N957,'By Lot - West Campus'!N975,'By Lot - West Campus'!N992,'By Lot - West Campus'!N1009, 'By Lot - West Campus'!N1026)</f>
        <v>3</v>
      </c>
      <c r="M58" s="31">
        <f>SUM('By Lot - West Campus'!O957,'By Lot - West Campus'!O975,'By Lot - West Campus'!O992,'By Lot - West Campus'!O1009, 'By Lot - West Campus'!O1026)</f>
        <v>3</v>
      </c>
      <c r="N58" s="32">
        <f t="shared" si="19"/>
        <v>1</v>
      </c>
      <c r="O58" s="6">
        <f t="shared" si="20"/>
        <v>2</v>
      </c>
      <c r="P58" s="59">
        <f t="shared" si="21"/>
        <v>0.66666666666666663</v>
      </c>
      <c r="Q58" s="6"/>
    </row>
    <row r="59" spans="1:17" ht="11.25" customHeight="1" outlineLevel="1" x14ac:dyDescent="0.4">
      <c r="A59" s="17"/>
      <c r="B59" s="17" t="s">
        <v>311</v>
      </c>
      <c r="C59" s="17"/>
      <c r="D59" s="32"/>
      <c r="E59" s="6"/>
      <c r="F59" s="6"/>
      <c r="G59" s="6"/>
      <c r="H59" s="6"/>
      <c r="I59" s="6"/>
      <c r="J59" s="6"/>
      <c r="K59" s="6"/>
      <c r="L59" s="6"/>
      <c r="M59" s="31"/>
      <c r="N59" s="32"/>
      <c r="O59" s="6"/>
      <c r="P59" s="59"/>
      <c r="Q59" s="6"/>
    </row>
    <row r="60" spans="1:17" ht="11.25" customHeight="1" outlineLevel="1" x14ac:dyDescent="0.4">
      <c r="A60" s="17"/>
      <c r="B60" s="17" t="s">
        <v>312</v>
      </c>
      <c r="C60" s="17">
        <f>SUM('By Lot - West Campus'!E959,'By Lot - West Campus'!E977,'By Lot - West Campus'!E994,'By Lot - West Campus'!E1011, 'By Lot - West Campus'!E1028)</f>
        <v>1</v>
      </c>
      <c r="D60" s="32">
        <f>SUM('By Lot - West Campus'!F959,'By Lot - West Campus'!F977,'By Lot - West Campus'!F994,'By Lot - West Campus'!F1011, 'By Lot - West Campus'!F1028)</f>
        <v>1</v>
      </c>
      <c r="E60" s="6">
        <f>SUM('By Lot - West Campus'!G959,'By Lot - West Campus'!G977,'By Lot - West Campus'!G994,'By Lot - West Campus'!G1011, 'By Lot - West Campus'!G1028)</f>
        <v>1</v>
      </c>
      <c r="F60" s="6">
        <f>SUM('By Lot - West Campus'!H959,'By Lot - West Campus'!H977,'By Lot - West Campus'!H994,'By Lot - West Campus'!H1011, 'By Lot - West Campus'!H1028)</f>
        <v>1</v>
      </c>
      <c r="G60" s="6">
        <f>SUM('By Lot - West Campus'!I959,'By Lot - West Campus'!I977,'By Lot - West Campus'!I994,'By Lot - West Campus'!I1011, 'By Lot - West Campus'!I1028)</f>
        <v>0</v>
      </c>
      <c r="H60" s="6">
        <f>SUM('By Lot - West Campus'!J959,'By Lot - West Campus'!J977,'By Lot - West Campus'!J994,'By Lot - West Campus'!J1011, 'By Lot - West Campus'!J1028)</f>
        <v>0</v>
      </c>
      <c r="I60" s="6">
        <f>SUM('By Lot - West Campus'!K959,'By Lot - West Campus'!K977,'By Lot - West Campus'!K994,'By Lot - West Campus'!K1011, 'By Lot - West Campus'!K1028)</f>
        <v>0</v>
      </c>
      <c r="J60" s="6">
        <f>SUM('By Lot - West Campus'!L959,'By Lot - West Campus'!L977,'By Lot - West Campus'!L994,'By Lot - West Campus'!L1011, 'By Lot - West Campus'!L1028)</f>
        <v>1</v>
      </c>
      <c r="K60" s="6">
        <f>SUM('By Lot - West Campus'!M959,'By Lot - West Campus'!M977,'By Lot - West Campus'!M994,'By Lot - West Campus'!M1011, 'By Lot - West Campus'!M1028)</f>
        <v>1</v>
      </c>
      <c r="L60" s="6">
        <f>SUM('By Lot - West Campus'!N959,'By Lot - West Campus'!N977,'By Lot - West Campus'!N994,'By Lot - West Campus'!N1011, 'By Lot - West Campus'!N1028)</f>
        <v>1</v>
      </c>
      <c r="M60" s="31">
        <f>SUM('By Lot - West Campus'!O959,'By Lot - West Campus'!O977,'By Lot - West Campus'!O994,'By Lot - West Campus'!O1011, 'By Lot - West Campus'!O1028)</f>
        <v>1</v>
      </c>
      <c r="N60" s="32">
        <f t="shared" ref="N60:N64" si="22">MIN(D60:M60)</f>
        <v>0</v>
      </c>
      <c r="O60" s="6">
        <f t="shared" ref="O60:O64" si="23">C60-N60</f>
        <v>1</v>
      </c>
      <c r="P60" s="59">
        <f t="shared" ref="P60:P64" si="24">O60/C60</f>
        <v>1</v>
      </c>
      <c r="Q60" s="6"/>
    </row>
    <row r="61" spans="1:17" ht="11.25" customHeight="1" outlineLevel="1" x14ac:dyDescent="0.4">
      <c r="A61" s="17"/>
      <c r="B61" s="17" t="s">
        <v>313</v>
      </c>
      <c r="C61" s="17">
        <f>SUM('By Lot - West Campus'!E960:E961,'By Lot - West Campus'!E978,'By Lot - West Campus'!E995,'By Lot - West Campus'!E1012, 'By Lot - West Campus'!E1029)</f>
        <v>6</v>
      </c>
      <c r="D61" s="32">
        <f>SUM('By Lot - West Campus'!F960:F961,'By Lot - West Campus'!F978,'By Lot - West Campus'!F995,'By Lot - West Campus'!F1012, 'By Lot - West Campus'!F1029)</f>
        <v>6</v>
      </c>
      <c r="E61" s="6">
        <f>SUM('By Lot - West Campus'!G960:G961,'By Lot - West Campus'!G978,'By Lot - West Campus'!G995,'By Lot - West Campus'!G1012, 'By Lot - West Campus'!G1029)</f>
        <v>6</v>
      </c>
      <c r="F61" s="6">
        <f>SUM('By Lot - West Campus'!H960:H961,'By Lot - West Campus'!H978,'By Lot - West Campus'!H995,'By Lot - West Campus'!H1012, 'By Lot - West Campus'!H1029)</f>
        <v>6</v>
      </c>
      <c r="G61" s="6">
        <f>SUM('By Lot - West Campus'!I960:I961,'By Lot - West Campus'!I978,'By Lot - West Campus'!I995,'By Lot - West Campus'!I1012, 'By Lot - West Campus'!I1029)</f>
        <v>5</v>
      </c>
      <c r="H61" s="6">
        <f>SUM('By Lot - West Campus'!J960:J961,'By Lot - West Campus'!J978,'By Lot - West Campus'!J995,'By Lot - West Campus'!J1012, 'By Lot - West Campus'!J1029)</f>
        <v>6</v>
      </c>
      <c r="I61" s="6">
        <f>SUM('By Lot - West Campus'!K960:K961,'By Lot - West Campus'!K978,'By Lot - West Campus'!K995,'By Lot - West Campus'!K1012, 'By Lot - West Campus'!K1029)</f>
        <v>6</v>
      </c>
      <c r="J61" s="6">
        <f>SUM('By Lot - West Campus'!L960:L961,'By Lot - West Campus'!L978,'By Lot - West Campus'!L995,'By Lot - West Campus'!L1012, 'By Lot - West Campus'!L1029)</f>
        <v>6</v>
      </c>
      <c r="K61" s="6">
        <f>SUM('By Lot - West Campus'!M960:M961,'By Lot - West Campus'!M978,'By Lot - West Campus'!M995,'By Lot - West Campus'!M1012, 'By Lot - West Campus'!M1029)</f>
        <v>6</v>
      </c>
      <c r="L61" s="6">
        <f>SUM('By Lot - West Campus'!N960:N961,'By Lot - West Campus'!N978,'By Lot - West Campus'!N995,'By Lot - West Campus'!N1012, 'By Lot - West Campus'!N1029)</f>
        <v>6</v>
      </c>
      <c r="M61" s="31">
        <f>SUM('By Lot - West Campus'!O960:O961,'By Lot - West Campus'!O978,'By Lot - West Campus'!O995,'By Lot - West Campus'!O1012, 'By Lot - West Campus'!O1029)</f>
        <v>6</v>
      </c>
      <c r="N61" s="32">
        <f t="shared" si="22"/>
        <v>5</v>
      </c>
      <c r="O61" s="6">
        <f t="shared" si="23"/>
        <v>1</v>
      </c>
      <c r="P61" s="59">
        <f t="shared" si="24"/>
        <v>0.16666666666666666</v>
      </c>
      <c r="Q61" s="6"/>
    </row>
    <row r="62" spans="1:17" ht="11.25" customHeight="1" x14ac:dyDescent="0.4">
      <c r="A62" s="34"/>
      <c r="B62" s="65" t="s">
        <v>314</v>
      </c>
      <c r="C62" s="65">
        <f t="shared" ref="C62:M62" si="25">SUM(C52:C61)</f>
        <v>237</v>
      </c>
      <c r="D62" s="104">
        <f t="shared" si="25"/>
        <v>221</v>
      </c>
      <c r="E62" s="128">
        <f t="shared" si="25"/>
        <v>209</v>
      </c>
      <c r="F62" s="128">
        <f t="shared" si="25"/>
        <v>205</v>
      </c>
      <c r="G62" s="128">
        <f t="shared" si="25"/>
        <v>195</v>
      </c>
      <c r="H62" s="128">
        <f t="shared" si="25"/>
        <v>201</v>
      </c>
      <c r="I62" s="128">
        <f t="shared" si="25"/>
        <v>198</v>
      </c>
      <c r="J62" s="128">
        <f t="shared" si="25"/>
        <v>202</v>
      </c>
      <c r="K62" s="128">
        <f t="shared" si="25"/>
        <v>209</v>
      </c>
      <c r="L62" s="128">
        <f t="shared" si="25"/>
        <v>210</v>
      </c>
      <c r="M62" s="129">
        <f t="shared" si="25"/>
        <v>219</v>
      </c>
      <c r="N62" s="104">
        <f t="shared" si="22"/>
        <v>195</v>
      </c>
      <c r="O62" s="128">
        <f t="shared" si="23"/>
        <v>42</v>
      </c>
      <c r="P62" s="72">
        <f t="shared" si="24"/>
        <v>0.17721518987341772</v>
      </c>
      <c r="Q62" s="6"/>
    </row>
    <row r="63" spans="1:17" ht="11.25" customHeight="1" outlineLevel="1" x14ac:dyDescent="0.4">
      <c r="A63" s="15" t="s">
        <v>243</v>
      </c>
      <c r="B63" s="17" t="s">
        <v>300</v>
      </c>
      <c r="C63" s="17">
        <f>SUM('By Lot - West Campus'!E1320,'By Lot - West Campus'!E1337,'By Lot - West Campus'!E1356,'By Lot - West Campus'!E1372,'By Lot - West Campus'!E1389,'By Lot - West Campus'!E1406)</f>
        <v>401</v>
      </c>
      <c r="D63" s="32">
        <f>SUM('By Lot - West Campus'!F1320,'By Lot - West Campus'!F1337,'By Lot - West Campus'!F1356,'By Lot - West Campus'!F1372,'By Lot - West Campus'!F1389,'By Lot - West Campus'!F1406)</f>
        <v>226</v>
      </c>
      <c r="E63" s="6">
        <f>SUM('By Lot - West Campus'!G1320,'By Lot - West Campus'!G1337,'By Lot - West Campus'!G1356,'By Lot - West Campus'!G1372,'By Lot - West Campus'!G1389,'By Lot - West Campus'!G1406)</f>
        <v>35</v>
      </c>
      <c r="F63" s="6">
        <f>SUM('By Lot - West Campus'!H1320,'By Lot - West Campus'!H1337,'By Lot - West Campus'!H1356,'By Lot - West Campus'!H1372,'By Lot - West Campus'!H1389,'By Lot - West Campus'!H1406)</f>
        <v>0</v>
      </c>
      <c r="G63" s="6">
        <f>SUM('By Lot - West Campus'!I1320,'By Lot - West Campus'!I1337,'By Lot - West Campus'!I1356,'By Lot - West Campus'!I1372,'By Lot - West Campus'!I1389,'By Lot - West Campus'!I1406)</f>
        <v>0</v>
      </c>
      <c r="H63" s="6">
        <f>SUM('By Lot - West Campus'!J1320,'By Lot - West Campus'!J1337,'By Lot - West Campus'!J1356,'By Lot - West Campus'!J1372,'By Lot - West Campus'!J1389,'By Lot - West Campus'!J1406)</f>
        <v>1</v>
      </c>
      <c r="I63" s="6">
        <f>SUM('By Lot - West Campus'!K1320,'By Lot - West Campus'!K1337,'By Lot - West Campus'!K1356,'By Lot - West Campus'!K1372,'By Lot - West Campus'!K1389,'By Lot - West Campus'!K1406)</f>
        <v>2</v>
      </c>
      <c r="J63" s="6">
        <f>SUM('By Lot - West Campus'!L1320,'By Lot - West Campus'!L1337,'By Lot - West Campus'!L1356,'By Lot - West Campus'!L1372,'By Lot - West Campus'!L1389,'By Lot - West Campus'!L1406)</f>
        <v>4</v>
      </c>
      <c r="K63" s="6">
        <f>SUM('By Lot - West Campus'!M1320,'By Lot - West Campus'!M1337,'By Lot - West Campus'!M1356,'By Lot - West Campus'!M1372,'By Lot - West Campus'!M1389,'By Lot - West Campus'!M1406)</f>
        <v>2</v>
      </c>
      <c r="L63" s="6">
        <f>SUM('By Lot - West Campus'!N1320,'By Lot - West Campus'!N1337,'By Lot - West Campus'!N1356,'By Lot - West Campus'!N1372,'By Lot - West Campus'!N1389,'By Lot - West Campus'!N1406)</f>
        <v>28</v>
      </c>
      <c r="M63" s="31">
        <f>SUM('By Lot - West Campus'!O1320,'By Lot - West Campus'!O1337,'By Lot - West Campus'!O1356,'By Lot - West Campus'!O1372,'By Lot - West Campus'!O1389,'By Lot - West Campus'!O1406)</f>
        <v>51</v>
      </c>
      <c r="N63" s="32">
        <f t="shared" si="22"/>
        <v>0</v>
      </c>
      <c r="O63" s="6">
        <f t="shared" si="23"/>
        <v>401</v>
      </c>
      <c r="P63" s="59">
        <f t="shared" si="24"/>
        <v>1</v>
      </c>
      <c r="Q63" s="6"/>
    </row>
    <row r="64" spans="1:17" ht="11.25" customHeight="1" outlineLevel="1" x14ac:dyDescent="0.4">
      <c r="A64" s="17" t="s">
        <v>252</v>
      </c>
      <c r="B64" s="17" t="s">
        <v>301</v>
      </c>
      <c r="C64" s="17">
        <f>SUM('By Lot - West Campus'!E1321,'By Lot - West Campus'!E1338,'By Lot - West Campus'!E1357,'By Lot - West Campus'!E1373,'By Lot - West Campus'!E1390,'By Lot - West Campus'!E1407)</f>
        <v>123</v>
      </c>
      <c r="D64" s="32">
        <f>SUM('By Lot - West Campus'!F1321,'By Lot - West Campus'!F1338,'By Lot - West Campus'!F1357,'By Lot - West Campus'!F1373,'By Lot - West Campus'!F1390,'By Lot - West Campus'!F1407)</f>
        <v>0</v>
      </c>
      <c r="E64" s="6">
        <f>SUM('By Lot - West Campus'!G1321,'By Lot - West Campus'!G1338,'By Lot - West Campus'!G1357,'By Lot - West Campus'!G1373,'By Lot - West Campus'!G1390,'By Lot - West Campus'!G1407)</f>
        <v>0</v>
      </c>
      <c r="F64" s="6">
        <f>SUM('By Lot - West Campus'!H1321,'By Lot - West Campus'!H1338,'By Lot - West Campus'!H1357,'By Lot - West Campus'!H1373,'By Lot - West Campus'!H1390,'By Lot - West Campus'!H1407)</f>
        <v>0</v>
      </c>
      <c r="G64" s="6">
        <f>SUM('By Lot - West Campus'!I1321,'By Lot - West Campus'!I1338,'By Lot - West Campus'!I1357,'By Lot - West Campus'!I1373,'By Lot - West Campus'!I1390,'By Lot - West Campus'!I1407)</f>
        <v>0</v>
      </c>
      <c r="H64" s="6">
        <f>SUM('By Lot - West Campus'!J1321,'By Lot - West Campus'!J1338,'By Lot - West Campus'!J1357,'By Lot - West Campus'!J1373,'By Lot - West Campus'!J1390,'By Lot - West Campus'!J1407)</f>
        <v>0</v>
      </c>
      <c r="I64" s="6">
        <f>SUM('By Lot - West Campus'!K1321,'By Lot - West Campus'!K1338,'By Lot - West Campus'!K1357,'By Lot - West Campus'!K1373,'By Lot - West Campus'!K1390,'By Lot - West Campus'!K1407)</f>
        <v>1</v>
      </c>
      <c r="J64" s="6">
        <f>SUM('By Lot - West Campus'!L1321,'By Lot - West Campus'!L1338,'By Lot - West Campus'!L1357,'By Lot - West Campus'!L1373,'By Lot - West Campus'!L1390,'By Lot - West Campus'!L1407)</f>
        <v>1</v>
      </c>
      <c r="K64" s="6">
        <f>SUM('By Lot - West Campus'!M1321,'By Lot - West Campus'!M1338,'By Lot - West Campus'!M1357,'By Lot - West Campus'!M1373,'By Lot - West Campus'!M1390,'By Lot - West Campus'!M1407)</f>
        <v>10</v>
      </c>
      <c r="L64" s="6">
        <f>SUM('By Lot - West Campus'!N1321,'By Lot - West Campus'!N1338,'By Lot - West Campus'!N1357,'By Lot - West Campus'!N1373,'By Lot - West Campus'!N1390,'By Lot - West Campus'!N1407)</f>
        <v>15</v>
      </c>
      <c r="M64" s="31">
        <f>SUM('By Lot - West Campus'!O1321,'By Lot - West Campus'!O1338,'By Lot - West Campus'!O1357,'By Lot - West Campus'!O1373,'By Lot - West Campus'!O1390,'By Lot - West Campus'!O1407)</f>
        <v>33</v>
      </c>
      <c r="N64" s="32">
        <f t="shared" si="22"/>
        <v>0</v>
      </c>
      <c r="O64" s="6">
        <f t="shared" si="23"/>
        <v>123</v>
      </c>
      <c r="P64" s="59">
        <f t="shared" si="24"/>
        <v>1</v>
      </c>
      <c r="Q64" s="6"/>
    </row>
    <row r="65" spans="1:17" ht="11.25" customHeight="1" outlineLevel="1" x14ac:dyDescent="0.4">
      <c r="A65" s="17"/>
      <c r="B65" s="17" t="s">
        <v>303</v>
      </c>
      <c r="C65" s="17"/>
      <c r="D65" s="32"/>
      <c r="E65" s="6"/>
      <c r="F65" s="6"/>
      <c r="G65" s="6"/>
      <c r="H65" s="6"/>
      <c r="I65" s="6"/>
      <c r="J65" s="6"/>
      <c r="K65" s="6"/>
      <c r="L65" s="6"/>
      <c r="M65" s="31"/>
      <c r="N65" s="32"/>
      <c r="O65" s="6"/>
      <c r="P65" s="59"/>
      <c r="Q65" s="6"/>
    </row>
    <row r="66" spans="1:17" ht="11.25" customHeight="1" outlineLevel="1" x14ac:dyDescent="0.4">
      <c r="A66" s="17"/>
      <c r="B66" s="17" t="s">
        <v>307</v>
      </c>
      <c r="C66" s="17">
        <f>SUM('By Lot - West Campus'!E1323:E1324,'By Lot - West Campus'!E1340:E1341,'By Lot - West Campus'!E1359:E1360,'By Lot - West Campus'!E1375:E1376,'By Lot - West Campus'!E1392:E1393,'By Lot - West Campus'!E1409:E1410)</f>
        <v>186</v>
      </c>
      <c r="D66" s="32">
        <f>SUM('By Lot - West Campus'!F1323:F1324,'By Lot - West Campus'!F1340:F1341,'By Lot - West Campus'!F1359:F1360,'By Lot - West Campus'!F1375:F1376,'By Lot - West Campus'!F1392:F1393,'By Lot - West Campus'!F1409:F1410)</f>
        <v>54</v>
      </c>
      <c r="E66" s="6">
        <f>SUM('By Lot - West Campus'!G1323:G1324,'By Lot - West Campus'!G1340:G1341,'By Lot - West Campus'!G1359:G1360,'By Lot - West Campus'!G1375:G1376,'By Lot - West Campus'!G1392:G1393,'By Lot - West Campus'!G1409:G1410)</f>
        <v>0</v>
      </c>
      <c r="F66" s="6">
        <f>SUM('By Lot - West Campus'!H1323:H1324,'By Lot - West Campus'!H1340:H1341,'By Lot - West Campus'!H1359:H1360,'By Lot - West Campus'!H1375:H1376,'By Lot - West Campus'!H1392:H1393,'By Lot - West Campus'!H1409:H1410)</f>
        <v>0</v>
      </c>
      <c r="G66" s="6">
        <f>SUM('By Lot - West Campus'!I1323:I1324,'By Lot - West Campus'!I1340:I1341,'By Lot - West Campus'!I1359:I1360,'By Lot - West Campus'!I1375:I1376,'By Lot - West Campus'!I1392:I1393,'By Lot - West Campus'!I1409:I1410)</f>
        <v>0</v>
      </c>
      <c r="H66" s="6">
        <f>SUM('By Lot - West Campus'!J1323:J1324,'By Lot - West Campus'!J1340:J1341,'By Lot - West Campus'!J1359:J1360,'By Lot - West Campus'!J1375:J1376,'By Lot - West Campus'!J1392:J1393,'By Lot - West Campus'!J1409:J1410)</f>
        <v>0</v>
      </c>
      <c r="I66" s="6">
        <f>SUM('By Lot - West Campus'!K1323:K1324,'By Lot - West Campus'!K1340:K1341,'By Lot - West Campus'!K1359:K1360,'By Lot - West Campus'!K1375:K1376,'By Lot - West Campus'!K1392:K1393,'By Lot - West Campus'!K1409:K1410)</f>
        <v>0</v>
      </c>
      <c r="J66" s="6">
        <f>SUM('By Lot - West Campus'!L1323:L1324,'By Lot - West Campus'!L1340:L1341,'By Lot - West Campus'!L1359:L1360,'By Lot - West Campus'!L1375:L1376,'By Lot - West Campus'!L1392:L1393,'By Lot - West Campus'!L1409:L1410)</f>
        <v>3</v>
      </c>
      <c r="K66" s="6">
        <f>SUM('By Lot - West Campus'!M1323:M1324,'By Lot - West Campus'!M1340:M1341,'By Lot - West Campus'!M1359:M1360,'By Lot - West Campus'!M1375:M1376,'By Lot - West Campus'!M1392:M1393,'By Lot - West Campus'!M1409:M1410)</f>
        <v>4</v>
      </c>
      <c r="L66" s="6">
        <f>SUM('By Lot - West Campus'!N1323:N1324,'By Lot - West Campus'!N1340:N1341,'By Lot - West Campus'!N1359:N1360,'By Lot - West Campus'!N1375:N1376,'By Lot - West Campus'!N1392:N1393,'By Lot - West Campus'!N1409:N1410)</f>
        <v>13</v>
      </c>
      <c r="M66" s="31">
        <f>SUM('By Lot - West Campus'!O1323:O1324,'By Lot - West Campus'!O1340:O1341,'By Lot - West Campus'!O1359:O1360,'By Lot - West Campus'!O1375:O1376,'By Lot - West Campus'!O1392:O1393,'By Lot - West Campus'!O1409:O1410)</f>
        <v>9</v>
      </c>
      <c r="N66" s="32">
        <f t="shared" ref="N66:N69" si="26">MIN(D66:M66)</f>
        <v>0</v>
      </c>
      <c r="O66" s="6">
        <f t="shared" ref="O66:O69" si="27">C66-N66</f>
        <v>186</v>
      </c>
      <c r="P66" s="59">
        <f t="shared" ref="P66:P69" si="28">O66/C66</f>
        <v>1</v>
      </c>
      <c r="Q66" s="6"/>
    </row>
    <row r="67" spans="1:17" ht="11.25" customHeight="1" outlineLevel="1" x14ac:dyDescent="0.4">
      <c r="A67" s="17"/>
      <c r="B67" s="17" t="s">
        <v>308</v>
      </c>
      <c r="C67" s="17">
        <f>SUM('By Lot - West Campus'!E1325,'By Lot - West Campus'!E1343,'By Lot - West Campus'!E1361,'By Lot - West Campus'!E1377,'By Lot - West Campus'!E1394,'By Lot - West Campus'!E1411)</f>
        <v>10</v>
      </c>
      <c r="D67" s="32">
        <f>SUM('By Lot - West Campus'!F1325,'By Lot - West Campus'!F1343,'By Lot - West Campus'!F1361,'By Lot - West Campus'!F1377,'By Lot - West Campus'!F1394,'By Lot - West Campus'!F1411)</f>
        <v>10</v>
      </c>
      <c r="E67" s="6">
        <f>SUM('By Lot - West Campus'!G1325,'By Lot - West Campus'!G1343,'By Lot - West Campus'!G1361,'By Lot - West Campus'!G1377,'By Lot - West Campus'!G1394,'By Lot - West Campus'!G1411)</f>
        <v>9</v>
      </c>
      <c r="F67" s="6">
        <f>SUM('By Lot - West Campus'!H1325,'By Lot - West Campus'!H1343,'By Lot - West Campus'!H1361,'By Lot - West Campus'!H1377,'By Lot - West Campus'!H1394,'By Lot - West Campus'!H1411)</f>
        <v>6</v>
      </c>
      <c r="G67" s="6">
        <f>SUM('By Lot - West Campus'!I1325,'By Lot - West Campus'!I1343,'By Lot - West Campus'!I1361,'By Lot - West Campus'!I1377,'By Lot - West Campus'!I1394,'By Lot - West Campus'!I1411)</f>
        <v>5</v>
      </c>
      <c r="H67" s="6">
        <f>SUM('By Lot - West Campus'!J1325,'By Lot - West Campus'!J1343,'By Lot - West Campus'!J1361,'By Lot - West Campus'!J1377,'By Lot - West Campus'!J1394,'By Lot - West Campus'!J1411)</f>
        <v>8</v>
      </c>
      <c r="I67" s="6">
        <f>SUM('By Lot - West Campus'!K1325,'By Lot - West Campus'!K1343,'By Lot - West Campus'!K1361,'By Lot - West Campus'!K1377,'By Lot - West Campus'!K1394,'By Lot - West Campus'!K1411)</f>
        <v>6</v>
      </c>
      <c r="J67" s="6">
        <f>SUM('By Lot - West Campus'!L1325,'By Lot - West Campus'!L1343,'By Lot - West Campus'!L1361,'By Lot - West Campus'!L1377,'By Lot - West Campus'!L1394,'By Lot - West Campus'!L1411)</f>
        <v>6</v>
      </c>
      <c r="K67" s="6">
        <f>SUM('By Lot - West Campus'!M1325,'By Lot - West Campus'!M1343,'By Lot - West Campus'!M1361,'By Lot - West Campus'!M1377,'By Lot - West Campus'!M1394,'By Lot - West Campus'!M1411)</f>
        <v>7</v>
      </c>
      <c r="L67" s="6">
        <f>SUM('By Lot - West Campus'!N1325,'By Lot - West Campus'!N1343,'By Lot - West Campus'!N1361,'By Lot - West Campus'!N1377,'By Lot - West Campus'!N1394,'By Lot - West Campus'!N1411)</f>
        <v>6</v>
      </c>
      <c r="M67" s="31">
        <f>SUM('By Lot - West Campus'!O1325,'By Lot - West Campus'!O1343,'By Lot - West Campus'!O1361,'By Lot - West Campus'!O1377,'By Lot - West Campus'!O1394,'By Lot - West Campus'!O1411)</f>
        <v>7</v>
      </c>
      <c r="N67" s="32">
        <f t="shared" si="26"/>
        <v>5</v>
      </c>
      <c r="O67" s="6">
        <f t="shared" si="27"/>
        <v>5</v>
      </c>
      <c r="P67" s="59">
        <f t="shared" si="28"/>
        <v>0.5</v>
      </c>
      <c r="Q67" s="6"/>
    </row>
    <row r="68" spans="1:17" ht="11.25" customHeight="1" outlineLevel="1" x14ac:dyDescent="0.4">
      <c r="A68" s="17"/>
      <c r="B68" s="17" t="s">
        <v>309</v>
      </c>
      <c r="C68" s="17">
        <f>SUM('By Lot - West Campus'!E1326:E1331,'By Lot - West Campus'!E1344:E1348,'By Lot - West Campus'!E1362:E1366,'By Lot - West Campus'!E1378:E1383,'By Lot - West Campus'!E1395:E1400,'By Lot - West Campus'!E1412:E1417)</f>
        <v>63</v>
      </c>
      <c r="D68" s="32">
        <f>SUM('By Lot - West Campus'!F1326:F1331,'By Lot - West Campus'!F1344:F1348,'By Lot - West Campus'!F1362:F1366,'By Lot - West Campus'!F1378:F1383,'By Lot - West Campus'!F1395:F1400,'By Lot - West Campus'!F1412:F1417)</f>
        <v>44</v>
      </c>
      <c r="E68" s="6">
        <f>SUM('By Lot - West Campus'!G1326:G1331,'By Lot - West Campus'!G1344:G1348,'By Lot - West Campus'!G1362:G1366,'By Lot - West Campus'!G1378:G1383,'By Lot - West Campus'!G1395:G1400,'By Lot - West Campus'!G1412:G1417)</f>
        <v>27</v>
      </c>
      <c r="F68" s="6">
        <f>SUM('By Lot - West Campus'!H1326:H1331,'By Lot - West Campus'!H1344:H1348,'By Lot - West Campus'!H1362:H1366,'By Lot - West Campus'!H1378:H1383,'By Lot - West Campus'!H1395:H1400,'By Lot - West Campus'!H1412:H1417)</f>
        <v>17</v>
      </c>
      <c r="G68" s="6">
        <f>SUM('By Lot - West Campus'!I1326:I1331,'By Lot - West Campus'!I1344:I1348,'By Lot - West Campus'!I1362:I1366,'By Lot - West Campus'!I1378:I1383,'By Lot - West Campus'!I1395:I1400,'By Lot - West Campus'!I1412:I1417)</f>
        <v>12</v>
      </c>
      <c r="H68" s="6">
        <f>SUM('By Lot - West Campus'!J1326:J1331,'By Lot - West Campus'!J1344:J1348,'By Lot - West Campus'!J1362:J1366,'By Lot - West Campus'!J1378:J1383,'By Lot - West Campus'!J1395:J1400,'By Lot - West Campus'!J1412:J1417)</f>
        <v>17</v>
      </c>
      <c r="I68" s="6">
        <f>SUM('By Lot - West Campus'!K1326:K1331,'By Lot - West Campus'!K1344:K1348,'By Lot - West Campus'!K1362:K1366,'By Lot - West Campus'!K1378:K1383,'By Lot - West Campus'!K1395:K1400,'By Lot - West Campus'!K1412:K1417)</f>
        <v>14</v>
      </c>
      <c r="J68" s="6">
        <f>SUM('By Lot - West Campus'!L1326:L1331,'By Lot - West Campus'!L1344:L1348,'By Lot - West Campus'!L1362:L1366,'By Lot - West Campus'!L1378:L1383,'By Lot - West Campus'!L1395:L1400,'By Lot - West Campus'!L1412:L1417)</f>
        <v>17</v>
      </c>
      <c r="K68" s="6">
        <f>SUM('By Lot - West Campus'!M1326:M1331,'By Lot - West Campus'!M1344:M1348,'By Lot - West Campus'!M1362:M1366,'By Lot - West Campus'!M1378:M1383,'By Lot - West Campus'!M1395:M1400,'By Lot - West Campus'!M1412:M1417)</f>
        <v>14</v>
      </c>
      <c r="L68" s="6">
        <f>SUM('By Lot - West Campus'!N1326:N1331,'By Lot - West Campus'!N1344:N1348,'By Lot - West Campus'!N1362:N1366,'By Lot - West Campus'!N1378:N1383,'By Lot - West Campus'!N1395:N1400,'By Lot - West Campus'!N1412:N1417)</f>
        <v>20</v>
      </c>
      <c r="M68" s="31">
        <f>SUM('By Lot - West Campus'!O1326:O1331,'By Lot - West Campus'!O1344:O1348,'By Lot - West Campus'!O1362:O1366,'By Lot - West Campus'!O1378:O1383,'By Lot - West Campus'!O1395:O1400,'By Lot - West Campus'!O1412:O1417)</f>
        <v>25</v>
      </c>
      <c r="N68" s="32">
        <f t="shared" si="26"/>
        <v>12</v>
      </c>
      <c r="O68" s="6">
        <f t="shared" si="27"/>
        <v>51</v>
      </c>
      <c r="P68" s="59">
        <f t="shared" si="28"/>
        <v>0.80952380952380953</v>
      </c>
      <c r="Q68" s="6"/>
    </row>
    <row r="69" spans="1:17" ht="11.25" customHeight="1" outlineLevel="1" x14ac:dyDescent="0.4">
      <c r="A69" s="17"/>
      <c r="B69" s="17" t="s">
        <v>310</v>
      </c>
      <c r="C69" s="17">
        <f>SUM('By Lot - West Campus'!E1332,'By Lot - West Campus'!E1351,'By Lot - West Campus'!E1367,'By Lot - West Campus'!E1384,'By Lot - West Campus'!E1401,'By Lot - West Campus'!E1418)</f>
        <v>43</v>
      </c>
      <c r="D69" s="32">
        <f>SUM('By Lot - West Campus'!F1332,'By Lot - West Campus'!F1351,'By Lot - West Campus'!F1367,'By Lot - West Campus'!F1384,'By Lot - West Campus'!F1401,'By Lot - West Campus'!F1418)</f>
        <v>0</v>
      </c>
      <c r="E69" s="6">
        <f>SUM('By Lot - West Campus'!G1332,'By Lot - West Campus'!G1351,'By Lot - West Campus'!G1367,'By Lot - West Campus'!G1384,'By Lot - West Campus'!G1401,'By Lot - West Campus'!G1418)</f>
        <v>0</v>
      </c>
      <c r="F69" s="6">
        <f>SUM('By Lot - West Campus'!H1332,'By Lot - West Campus'!H1351,'By Lot - West Campus'!H1367,'By Lot - West Campus'!H1384,'By Lot - West Campus'!H1401,'By Lot - West Campus'!H1418)</f>
        <v>0</v>
      </c>
      <c r="G69" s="6">
        <f>SUM('By Lot - West Campus'!I1332,'By Lot - West Campus'!I1351,'By Lot - West Campus'!I1367,'By Lot - West Campus'!I1384,'By Lot - West Campus'!I1401,'By Lot - West Campus'!I1418)</f>
        <v>0</v>
      </c>
      <c r="H69" s="6">
        <f>SUM('By Lot - West Campus'!J1332,'By Lot - West Campus'!J1351,'By Lot - West Campus'!J1367,'By Lot - West Campus'!J1384,'By Lot - West Campus'!J1401,'By Lot - West Campus'!J1418)</f>
        <v>0</v>
      </c>
      <c r="I69" s="6">
        <f>SUM('By Lot - West Campus'!K1332,'By Lot - West Campus'!K1351,'By Lot - West Campus'!K1367,'By Lot - West Campus'!K1384,'By Lot - West Campus'!K1401,'By Lot - West Campus'!K1418)</f>
        <v>2</v>
      </c>
      <c r="J69" s="6">
        <f>SUM('By Lot - West Campus'!L1332,'By Lot - West Campus'!L1351,'By Lot - West Campus'!L1367,'By Lot - West Campus'!L1384,'By Lot - West Campus'!L1401,'By Lot - West Campus'!L1418)</f>
        <v>6</v>
      </c>
      <c r="K69" s="6">
        <f>SUM('By Lot - West Campus'!M1332,'By Lot - West Campus'!M1351,'By Lot - West Campus'!M1367,'By Lot - West Campus'!M1384,'By Lot - West Campus'!M1401,'By Lot - West Campus'!M1418)</f>
        <v>10</v>
      </c>
      <c r="L69" s="6">
        <f>SUM('By Lot - West Campus'!N1332,'By Lot - West Campus'!N1351,'By Lot - West Campus'!N1367,'By Lot - West Campus'!N1384,'By Lot - West Campus'!N1401,'By Lot - West Campus'!N1418)</f>
        <v>26</v>
      </c>
      <c r="M69" s="31">
        <f>SUM('By Lot - West Campus'!O1332,'By Lot - West Campus'!O1351,'By Lot - West Campus'!O1367,'By Lot - West Campus'!O1384,'By Lot - West Campus'!O1401,'By Lot - West Campus'!O1418)</f>
        <v>31</v>
      </c>
      <c r="N69" s="32">
        <f t="shared" si="26"/>
        <v>0</v>
      </c>
      <c r="O69" s="6">
        <f t="shared" si="27"/>
        <v>43</v>
      </c>
      <c r="P69" s="59">
        <f t="shared" si="28"/>
        <v>1</v>
      </c>
      <c r="Q69" s="6"/>
    </row>
    <row r="70" spans="1:17" ht="11.25" customHeight="1" outlineLevel="1" x14ac:dyDescent="0.4">
      <c r="A70" s="17"/>
      <c r="B70" s="17" t="s">
        <v>311</v>
      </c>
      <c r="C70" s="17"/>
      <c r="D70" s="32"/>
      <c r="E70" s="6"/>
      <c r="F70" s="6"/>
      <c r="G70" s="6"/>
      <c r="H70" s="6"/>
      <c r="I70" s="6"/>
      <c r="J70" s="6"/>
      <c r="K70" s="6"/>
      <c r="L70" s="6"/>
      <c r="M70" s="31"/>
      <c r="N70" s="32"/>
      <c r="O70" s="6"/>
      <c r="P70" s="59"/>
      <c r="Q70" s="6"/>
    </row>
    <row r="71" spans="1:17" ht="11.25" customHeight="1" outlineLevel="1" x14ac:dyDescent="0.4">
      <c r="A71" s="17"/>
      <c r="B71" s="17" t="s">
        <v>312</v>
      </c>
      <c r="C71" s="17"/>
      <c r="D71" s="32"/>
      <c r="E71" s="6"/>
      <c r="F71" s="6"/>
      <c r="G71" s="6"/>
      <c r="H71" s="6"/>
      <c r="I71" s="6"/>
      <c r="J71" s="6"/>
      <c r="K71" s="6"/>
      <c r="L71" s="6"/>
      <c r="M71" s="31"/>
      <c r="N71" s="32"/>
      <c r="O71" s="6"/>
      <c r="P71" s="59"/>
      <c r="Q71" s="6"/>
    </row>
    <row r="72" spans="1:17" ht="11.25" customHeight="1" outlineLevel="1" x14ac:dyDescent="0.4">
      <c r="A72" s="17"/>
      <c r="B72" s="17" t="s">
        <v>313</v>
      </c>
      <c r="C72" s="17"/>
      <c r="D72" s="32"/>
      <c r="E72" s="6"/>
      <c r="F72" s="6"/>
      <c r="G72" s="6"/>
      <c r="H72" s="6"/>
      <c r="I72" s="6"/>
      <c r="J72" s="6"/>
      <c r="K72" s="6"/>
      <c r="L72" s="6"/>
      <c r="M72" s="31"/>
      <c r="N72" s="32"/>
      <c r="O72" s="6"/>
      <c r="P72" s="59"/>
      <c r="Q72" s="6"/>
    </row>
    <row r="73" spans="1:17" ht="11.25" customHeight="1" x14ac:dyDescent="0.4">
      <c r="A73" s="34"/>
      <c r="B73" s="65" t="s">
        <v>314</v>
      </c>
      <c r="C73" s="155">
        <f t="shared" ref="C73:M73" si="29">SUM(C63:C72)</f>
        <v>826</v>
      </c>
      <c r="D73" s="101">
        <f t="shared" si="29"/>
        <v>334</v>
      </c>
      <c r="E73" s="102">
        <f t="shared" si="29"/>
        <v>71</v>
      </c>
      <c r="F73" s="102">
        <f t="shared" si="29"/>
        <v>23</v>
      </c>
      <c r="G73" s="102">
        <f t="shared" si="29"/>
        <v>17</v>
      </c>
      <c r="H73" s="102">
        <f t="shared" si="29"/>
        <v>26</v>
      </c>
      <c r="I73" s="102">
        <f t="shared" si="29"/>
        <v>25</v>
      </c>
      <c r="J73" s="102">
        <f t="shared" si="29"/>
        <v>37</v>
      </c>
      <c r="K73" s="102">
        <f t="shared" si="29"/>
        <v>47</v>
      </c>
      <c r="L73" s="102">
        <f t="shared" si="29"/>
        <v>108</v>
      </c>
      <c r="M73" s="103">
        <f t="shared" si="29"/>
        <v>156</v>
      </c>
      <c r="N73" s="104">
        <f t="shared" ref="N73:N82" si="30">MIN(D73:M73)</f>
        <v>17</v>
      </c>
      <c r="O73" s="128">
        <f t="shared" ref="O73:O82" si="31">C73-N73</f>
        <v>809</v>
      </c>
      <c r="P73" s="72">
        <f t="shared" ref="P73:P82" si="32">O73/C73</f>
        <v>0.97941888619854722</v>
      </c>
      <c r="Q73" s="6"/>
    </row>
    <row r="74" spans="1:17" ht="11.25" customHeight="1" outlineLevel="1" x14ac:dyDescent="0.4">
      <c r="A74" s="17" t="s">
        <v>544</v>
      </c>
      <c r="B74" s="32" t="s">
        <v>300</v>
      </c>
      <c r="C74" s="15">
        <f>SUM('By Lot - West Campus'!E1767,'By Lot - West Campus'!E1784,'By Lot - West Campus'!E1801,'By Lot - West Campus'!E1818,'By Lot - West Campus'!E1835)</f>
        <v>156</v>
      </c>
      <c r="D74" s="108">
        <f>SUM('By Lot - West Campus'!F1818)</f>
        <v>102</v>
      </c>
      <c r="E74" s="108">
        <f>SUM('By Lot - West Campus'!G1818)</f>
        <v>0</v>
      </c>
      <c r="F74" s="108">
        <f>SUM('By Lot - West Campus'!H1818)</f>
        <v>0</v>
      </c>
      <c r="G74" s="108">
        <f>SUM('By Lot - West Campus'!I1818)</f>
        <v>0</v>
      </c>
      <c r="H74" s="108">
        <f>SUM('By Lot - West Campus'!J1818)</f>
        <v>0</v>
      </c>
      <c r="I74" s="108">
        <f>SUM('By Lot - West Campus'!K1818)</f>
        <v>2</v>
      </c>
      <c r="J74" s="108">
        <f>SUM('By Lot - West Campus'!L1818)</f>
        <v>3</v>
      </c>
      <c r="K74" s="108">
        <f>SUM('By Lot - West Campus'!M1818)</f>
        <v>18</v>
      </c>
      <c r="L74" s="108">
        <f>SUM('By Lot - West Campus'!N1818)</f>
        <v>40</v>
      </c>
      <c r="M74" s="109">
        <f>SUM('By Lot - West Campus'!O1818)</f>
        <v>69</v>
      </c>
      <c r="N74" s="6">
        <f t="shared" si="30"/>
        <v>0</v>
      </c>
      <c r="O74" s="6">
        <f t="shared" si="31"/>
        <v>156</v>
      </c>
      <c r="P74" s="59">
        <f t="shared" si="32"/>
        <v>1</v>
      </c>
      <c r="Q74" s="6"/>
    </row>
    <row r="75" spans="1:17" ht="11.25" customHeight="1" outlineLevel="1" x14ac:dyDescent="0.4">
      <c r="A75" s="17" t="s">
        <v>545</v>
      </c>
      <c r="B75" s="32" t="s">
        <v>301</v>
      </c>
      <c r="C75" s="17">
        <f>SUM('By Lot - West Campus'!E1768,'By Lot - West Campus'!E1785,'By Lot - West Campus'!E1802,'By Lot - West Campus'!E1819,'By Lot - West Campus'!E1836)</f>
        <v>524</v>
      </c>
      <c r="D75" s="6">
        <f>SUM('By Lot - West Campus'!F1802+'By Lot - West Campus'!F1819+'By Lot - West Campus'!F1836)</f>
        <v>117</v>
      </c>
      <c r="E75" s="6">
        <f>SUM('By Lot - West Campus'!G1802+'By Lot - West Campus'!G1819+'By Lot - West Campus'!G1836)</f>
        <v>1</v>
      </c>
      <c r="F75" s="6">
        <f>SUM('By Lot - West Campus'!H1802+'By Lot - West Campus'!H1819+'By Lot - West Campus'!H1836)</f>
        <v>0</v>
      </c>
      <c r="G75" s="6">
        <f>SUM('By Lot - West Campus'!I1802+'By Lot - West Campus'!I1819+'By Lot - West Campus'!I1836)</f>
        <v>0</v>
      </c>
      <c r="H75" s="6">
        <f>SUM('By Lot - West Campus'!J1802+'By Lot - West Campus'!J1819+'By Lot - West Campus'!J1836)</f>
        <v>0</v>
      </c>
      <c r="I75" s="6">
        <f>SUM('By Lot - West Campus'!K1802+'By Lot - West Campus'!K1819+'By Lot - West Campus'!K1836)</f>
        <v>0</v>
      </c>
      <c r="J75" s="6">
        <f>SUM('By Lot - West Campus'!L1802+'By Lot - West Campus'!L1819+'By Lot - West Campus'!L1836)</f>
        <v>2</v>
      </c>
      <c r="K75" s="6">
        <f>SUM('By Lot - West Campus'!M1802+'By Lot - West Campus'!M1819+'By Lot - West Campus'!M1836)</f>
        <v>47</v>
      </c>
      <c r="L75" s="6">
        <f>SUM('By Lot - West Campus'!N1802+'By Lot - West Campus'!N1819+'By Lot - West Campus'!N1836)</f>
        <v>152</v>
      </c>
      <c r="M75" s="31">
        <f>SUM('By Lot - West Campus'!O1802+'By Lot - West Campus'!O1819+'By Lot - West Campus'!O1836)</f>
        <v>326</v>
      </c>
      <c r="N75" s="6">
        <f t="shared" si="30"/>
        <v>0</v>
      </c>
      <c r="O75" s="6">
        <f t="shared" si="31"/>
        <v>524</v>
      </c>
      <c r="P75" s="59">
        <f t="shared" si="32"/>
        <v>1</v>
      </c>
      <c r="Q75" s="6"/>
    </row>
    <row r="76" spans="1:17" ht="11.25" customHeight="1" outlineLevel="1" x14ac:dyDescent="0.4">
      <c r="A76" s="17"/>
      <c r="B76" s="32" t="s">
        <v>303</v>
      </c>
      <c r="C76" s="17">
        <f>SUM('By Lot - West Campus'!E1769,'By Lot - West Campus'!E1786,'By Lot - West Campus'!E1803,'By Lot - West Campus'!E1820,'By Lot - West Campus'!E1837)</f>
        <v>428</v>
      </c>
      <c r="D76" s="6">
        <f>SUM('By Lot - West Campus'!F1769+'By Lot - West Campus'!F1786)</f>
        <v>75</v>
      </c>
      <c r="E76" s="6">
        <f>SUM('By Lot - West Campus'!G1769+'By Lot - West Campus'!G1786)</f>
        <v>2</v>
      </c>
      <c r="F76" s="6">
        <f>SUM('By Lot - West Campus'!H1769+'By Lot - West Campus'!H1786)</f>
        <v>0</v>
      </c>
      <c r="G76" s="6">
        <f>SUM('By Lot - West Campus'!I1769+'By Lot - West Campus'!I1786)</f>
        <v>0</v>
      </c>
      <c r="H76" s="6">
        <f>SUM('By Lot - West Campus'!J1769+'By Lot - West Campus'!J1786)</f>
        <v>0</v>
      </c>
      <c r="I76" s="6">
        <f>SUM('By Lot - West Campus'!K1769+'By Lot - West Campus'!K1786)</f>
        <v>0</v>
      </c>
      <c r="J76" s="6">
        <f>SUM('By Lot - West Campus'!L1769+'By Lot - West Campus'!L1786)</f>
        <v>0</v>
      </c>
      <c r="K76" s="6">
        <f>SUM('By Lot - West Campus'!M1769+'By Lot - West Campus'!M1786)</f>
        <v>13</v>
      </c>
      <c r="L76" s="6">
        <f>SUM('By Lot - West Campus'!N1769+'By Lot - West Campus'!N1786)</f>
        <v>32</v>
      </c>
      <c r="M76" s="31">
        <f>SUM('By Lot - West Campus'!O1769+'By Lot - West Campus'!O1786)</f>
        <v>52</v>
      </c>
      <c r="N76" s="6">
        <f t="shared" si="30"/>
        <v>0</v>
      </c>
      <c r="O76" s="6">
        <f t="shared" si="31"/>
        <v>428</v>
      </c>
      <c r="P76" s="59">
        <f t="shared" si="32"/>
        <v>1</v>
      </c>
      <c r="Q76" s="6"/>
    </row>
    <row r="77" spans="1:17" ht="11.25" customHeight="1" outlineLevel="1" x14ac:dyDescent="0.4">
      <c r="A77" s="17" t="s">
        <v>546</v>
      </c>
      <c r="B77" s="32" t="s">
        <v>307</v>
      </c>
      <c r="C77" s="17">
        <f>SUM('By Lot - West Campus'!E1770:E1771,'By Lot - West Campus'!E1787:E1788,'By Lot - West Campus'!E1804:E1805,'By Lot - West Campus'!E1821:E1822,'By Lot - West Campus'!E1838:E1839)</f>
        <v>46</v>
      </c>
      <c r="D77" s="6">
        <f>SUM('By Lot - West Campus'!F1804)</f>
        <v>30</v>
      </c>
      <c r="E77" s="6">
        <f>SUM('By Lot - West Campus'!G1804)</f>
        <v>20</v>
      </c>
      <c r="F77" s="6">
        <f>SUM('By Lot - West Campus'!H1804)</f>
        <v>20</v>
      </c>
      <c r="G77" s="6">
        <f>SUM('By Lot - West Campus'!I1804)</f>
        <v>18</v>
      </c>
      <c r="H77" s="6">
        <f>SUM('By Lot - West Campus'!J1804)</f>
        <v>12</v>
      </c>
      <c r="I77" s="6">
        <f>SUM('By Lot - West Campus'!K1804)</f>
        <v>3</v>
      </c>
      <c r="J77" s="6">
        <f>SUM('By Lot - West Campus'!L1804)</f>
        <v>3</v>
      </c>
      <c r="K77" s="6">
        <f>SUM('By Lot - West Campus'!M1804)</f>
        <v>3</v>
      </c>
      <c r="L77" s="6">
        <f>SUM('By Lot - West Campus'!N1804)</f>
        <v>15</v>
      </c>
      <c r="M77" s="31">
        <f>SUM('By Lot - West Campus'!O1804)</f>
        <v>22</v>
      </c>
      <c r="N77" s="6">
        <f t="shared" si="30"/>
        <v>3</v>
      </c>
      <c r="O77" s="6">
        <f t="shared" si="31"/>
        <v>43</v>
      </c>
      <c r="P77" s="59">
        <f t="shared" si="32"/>
        <v>0.93478260869565222</v>
      </c>
      <c r="Q77" s="6"/>
    </row>
    <row r="78" spans="1:17" ht="11.25" customHeight="1" outlineLevel="1" x14ac:dyDescent="0.4">
      <c r="A78" s="17"/>
      <c r="B78" s="32" t="s">
        <v>308</v>
      </c>
      <c r="C78" s="17">
        <f>SUM('By Lot - West Campus'!E1806)</f>
        <v>7</v>
      </c>
      <c r="D78" s="6">
        <f>SUM('By Lot - West Campus'!F1806)</f>
        <v>1</v>
      </c>
      <c r="E78" s="6">
        <f>SUM('By Lot - West Campus'!G1806)</f>
        <v>1</v>
      </c>
      <c r="F78" s="6">
        <f>SUM('By Lot - West Campus'!H1806)</f>
        <v>1</v>
      </c>
      <c r="G78" s="6">
        <f>SUM('By Lot - West Campus'!I1806)</f>
        <v>0</v>
      </c>
      <c r="H78" s="6">
        <f>SUM('By Lot - West Campus'!J1806)</f>
        <v>0</v>
      </c>
      <c r="I78" s="6">
        <f>SUM('By Lot - West Campus'!K1806)</f>
        <v>0</v>
      </c>
      <c r="J78" s="6">
        <f>SUM('By Lot - West Campus'!L1806)</f>
        <v>1</v>
      </c>
      <c r="K78" s="6">
        <f>SUM('By Lot - West Campus'!M1806)</f>
        <v>1</v>
      </c>
      <c r="L78" s="6">
        <f>SUM('By Lot - West Campus'!N1806)</f>
        <v>2</v>
      </c>
      <c r="M78" s="31">
        <f>SUM('By Lot - West Campus'!O1806)</f>
        <v>3</v>
      </c>
      <c r="N78" s="6">
        <f t="shared" si="30"/>
        <v>0</v>
      </c>
      <c r="O78" s="6">
        <f t="shared" si="31"/>
        <v>7</v>
      </c>
      <c r="P78" s="59">
        <f t="shared" si="32"/>
        <v>1</v>
      </c>
      <c r="Q78" s="6"/>
    </row>
    <row r="79" spans="1:17" ht="11.25" customHeight="1" outlineLevel="1" x14ac:dyDescent="0.4">
      <c r="A79" s="17"/>
      <c r="B79" s="32" t="s">
        <v>309</v>
      </c>
      <c r="C79" s="17">
        <f>SUM('By Lot - West Campus'!E1773:E1778,'By Lot - West Campus'!E1790:E1795,'By Lot - West Campus'!E1807:E1812,'By Lot - West Campus'!E1824:E1829,'By Lot - West Campus'!E1841:E1846)</f>
        <v>106</v>
      </c>
      <c r="D79" s="6">
        <f>SUM('By Lot - West Campus'!F1773+'By Lot - West Campus'!F1790+'By Lot - West Campus'!F1791+'By Lot - West Campus'!F1807+'By Lot - West Campus'!F1808+'By Lot - West Campus'!F1809+'By Lot - West Campus'!F1824+'By Lot - West Campus'!F1841)</f>
        <v>55</v>
      </c>
      <c r="E79" s="6">
        <f>SUM('By Lot - West Campus'!G1773+'By Lot - West Campus'!G1790+'By Lot - West Campus'!G1791+'By Lot - West Campus'!G1807+'By Lot - West Campus'!G1808+'By Lot - West Campus'!G1809+'By Lot - West Campus'!G1824+'By Lot - West Campus'!G1841)</f>
        <v>15</v>
      </c>
      <c r="F79" s="6">
        <f>SUM('By Lot - West Campus'!H1773+'By Lot - West Campus'!H1790+'By Lot - West Campus'!H1791+'By Lot - West Campus'!H1807+'By Lot - West Campus'!H1808+'By Lot - West Campus'!H1809+'By Lot - West Campus'!H1824+'By Lot - West Campus'!H1841)</f>
        <v>0</v>
      </c>
      <c r="G79" s="6">
        <f>SUM('By Lot - West Campus'!I1773+'By Lot - West Campus'!I1790+'By Lot - West Campus'!I1791+'By Lot - West Campus'!I1807+'By Lot - West Campus'!I1808+'By Lot - West Campus'!I1809+'By Lot - West Campus'!I1824+'By Lot - West Campus'!I1841)</f>
        <v>0</v>
      </c>
      <c r="H79" s="6">
        <f>SUM('By Lot - West Campus'!J1773+'By Lot - West Campus'!J1790+'By Lot - West Campus'!J1791+'By Lot - West Campus'!J1807+'By Lot - West Campus'!J1808+'By Lot - West Campus'!J1809+'By Lot - West Campus'!J1824+'By Lot - West Campus'!J1841)</f>
        <v>0</v>
      </c>
      <c r="I79" s="6">
        <f>SUM('By Lot - West Campus'!K1773+'By Lot - West Campus'!K1790+'By Lot - West Campus'!K1791+'By Lot - West Campus'!K1807+'By Lot - West Campus'!K1808+'By Lot - West Campus'!K1809+'By Lot - West Campus'!K1824+'By Lot - West Campus'!K1841)</f>
        <v>2</v>
      </c>
      <c r="J79" s="6">
        <f>SUM('By Lot - West Campus'!L1773+'By Lot - West Campus'!L1790+'By Lot - West Campus'!L1791+'By Lot - West Campus'!L1807+'By Lot - West Campus'!L1808+'By Lot - West Campus'!L1809+'By Lot - West Campus'!L1824+'By Lot - West Campus'!L1841)</f>
        <v>7</v>
      </c>
      <c r="K79" s="6">
        <f>SUM('By Lot - West Campus'!M1773+'By Lot - West Campus'!M1790+'By Lot - West Campus'!M1791+'By Lot - West Campus'!M1807+'By Lot - West Campus'!M1808+'By Lot - West Campus'!M1809+'By Lot - West Campus'!M1824+'By Lot - West Campus'!M1841)</f>
        <v>13</v>
      </c>
      <c r="L79" s="6">
        <f>SUM('By Lot - West Campus'!N1773+'By Lot - West Campus'!N1790+'By Lot - West Campus'!N1791+'By Lot - West Campus'!N1807+'By Lot - West Campus'!N1808+'By Lot - West Campus'!N1809+'By Lot - West Campus'!N1824+'By Lot - West Campus'!N1841)</f>
        <v>24</v>
      </c>
      <c r="M79" s="31">
        <f>SUM('By Lot - West Campus'!O1773+'By Lot - West Campus'!O1790+'By Lot - West Campus'!O1791+'By Lot - West Campus'!O1807+'By Lot - West Campus'!O1808+'By Lot - West Campus'!O1809+'By Lot - West Campus'!O1824+'By Lot - West Campus'!O1841)</f>
        <v>42</v>
      </c>
      <c r="N79" s="6">
        <f t="shared" si="30"/>
        <v>0</v>
      </c>
      <c r="O79" s="6">
        <f t="shared" si="31"/>
        <v>106</v>
      </c>
      <c r="P79" s="59">
        <f t="shared" si="32"/>
        <v>1</v>
      </c>
      <c r="Q79" s="6"/>
    </row>
    <row r="80" spans="1:17" ht="11.25" customHeight="1" outlineLevel="1" x14ac:dyDescent="0.4">
      <c r="A80" s="17"/>
      <c r="B80" s="32" t="s">
        <v>310</v>
      </c>
      <c r="C80" s="17">
        <f>SUM('By Lot - West Campus'!E1779,'By Lot - West Campus'!E1796,'By Lot - West Campus'!E1813,'By Lot - West Campus'!E1830,'By Lot - West Campus'!E1847)</f>
        <v>24</v>
      </c>
      <c r="D80" s="6">
        <f>SUM('By Lot - West Campus'!F1779+'By Lot - West Campus'!F1796+'By Lot - West Campus'!F1813+'By Lot - West Campus'!F1830+'By Lot - West Campus'!F1847)</f>
        <v>21</v>
      </c>
      <c r="E80" s="6">
        <f>SUM('By Lot - West Campus'!G1779+'By Lot - West Campus'!G1796+'By Lot - West Campus'!G1813+'By Lot - West Campus'!G1830+'By Lot - West Campus'!G1847)</f>
        <v>18</v>
      </c>
      <c r="F80" s="6">
        <f>SUM('By Lot - West Campus'!H1779+'By Lot - West Campus'!H1796+'By Lot - West Campus'!H1813+'By Lot - West Campus'!H1830+'By Lot - West Campus'!H1847)</f>
        <v>11</v>
      </c>
      <c r="G80" s="6">
        <f>SUM('By Lot - West Campus'!I1779+'By Lot - West Campus'!I1796+'By Lot - West Campus'!I1813+'By Lot - West Campus'!I1830+'By Lot - West Campus'!I1847)</f>
        <v>11</v>
      </c>
      <c r="H80" s="6">
        <f>SUM('By Lot - West Campus'!J1779+'By Lot - West Campus'!J1796+'By Lot - West Campus'!J1813+'By Lot - West Campus'!J1830+'By Lot - West Campus'!J1847)</f>
        <v>11</v>
      </c>
      <c r="I80" s="6">
        <f>SUM('By Lot - West Campus'!K1779+'By Lot - West Campus'!K1796+'By Lot - West Campus'!K1813+'By Lot - West Campus'!K1830+'By Lot - West Campus'!K1847)</f>
        <v>11</v>
      </c>
      <c r="J80" s="6">
        <f>SUM('By Lot - West Campus'!L1779+'By Lot - West Campus'!L1796+'By Lot - West Campus'!L1813+'By Lot - West Campus'!L1830+'By Lot - West Campus'!L1847)</f>
        <v>12</v>
      </c>
      <c r="K80" s="6">
        <f>SUM('By Lot - West Campus'!M1779+'By Lot - West Campus'!M1796+'By Lot - West Campus'!M1813+'By Lot - West Campus'!M1830+'By Lot - West Campus'!M1847)</f>
        <v>13</v>
      </c>
      <c r="L80" s="6">
        <f>SUM('By Lot - West Campus'!N1779+'By Lot - West Campus'!N1796+'By Lot - West Campus'!N1813+'By Lot - West Campus'!N1830+'By Lot - West Campus'!N1847)</f>
        <v>16</v>
      </c>
      <c r="M80" s="31">
        <f>SUM('By Lot - West Campus'!O1779+'By Lot - West Campus'!O1796+'By Lot - West Campus'!O1813+'By Lot - West Campus'!O1830+'By Lot - West Campus'!O1847)</f>
        <v>20</v>
      </c>
      <c r="N80" s="6">
        <f t="shared" si="30"/>
        <v>11</v>
      </c>
      <c r="O80" s="6">
        <f t="shared" si="31"/>
        <v>13</v>
      </c>
      <c r="P80" s="59">
        <f t="shared" si="32"/>
        <v>0.54166666666666663</v>
      </c>
      <c r="Q80" s="6"/>
    </row>
    <row r="81" spans="1:17" ht="11.25" customHeight="1" outlineLevel="1" x14ac:dyDescent="0.4">
      <c r="A81" s="17"/>
      <c r="B81" s="32" t="s">
        <v>311</v>
      </c>
      <c r="C81" s="17">
        <f>SUM('By Lot - West Campus'!E1780,'By Lot - West Campus'!E1797,'By Lot - West Campus'!E1814,'By Lot - West Campus'!E1831,'By Lot - West Campus'!E1848)</f>
        <v>13</v>
      </c>
      <c r="D81" s="6">
        <f>SUM('By Lot - West Campus'!F1780+'By Lot - West Campus'!F1797+'By Lot - West Campus'!F1814+'By Lot - West Campus'!F1831+'By Lot - West Campus'!F1848)</f>
        <v>10</v>
      </c>
      <c r="E81" s="6">
        <f>SUM('By Lot - West Campus'!G1780+'By Lot - West Campus'!G1797+'By Lot - West Campus'!G1814+'By Lot - West Campus'!G1831+'By Lot - West Campus'!G1848)</f>
        <v>11</v>
      </c>
      <c r="F81" s="6">
        <f>SUM('By Lot - West Campus'!H1780+'By Lot - West Campus'!H1797+'By Lot - West Campus'!H1814+'By Lot - West Campus'!H1831+'By Lot - West Campus'!H1848)</f>
        <v>10</v>
      </c>
      <c r="G81" s="6">
        <f>SUM('By Lot - West Campus'!I1780+'By Lot - West Campus'!I1797+'By Lot - West Campus'!I1814+'By Lot - West Campus'!I1831+'By Lot - West Campus'!I1848)</f>
        <v>9</v>
      </c>
      <c r="H81" s="6">
        <f>SUM('By Lot - West Campus'!J1780+'By Lot - West Campus'!J1797+'By Lot - West Campus'!J1814+'By Lot - West Campus'!J1831+'By Lot - West Campus'!J1848)</f>
        <v>8</v>
      </c>
      <c r="I81" s="6">
        <f>SUM('By Lot - West Campus'!K1780+'By Lot - West Campus'!K1797+'By Lot - West Campus'!K1814+'By Lot - West Campus'!K1831+'By Lot - West Campus'!K1848)</f>
        <v>9</v>
      </c>
      <c r="J81" s="6">
        <f>SUM('By Lot - West Campus'!L1780+'By Lot - West Campus'!L1797+'By Lot - West Campus'!L1814+'By Lot - West Campus'!L1831+'By Lot - West Campus'!L1848)</f>
        <v>9</v>
      </c>
      <c r="K81" s="6">
        <f>SUM('By Lot - West Campus'!M1780+'By Lot - West Campus'!M1797+'By Lot - West Campus'!M1814+'By Lot - West Campus'!M1831+'By Lot - West Campus'!M1848)</f>
        <v>8</v>
      </c>
      <c r="L81" s="6">
        <f>SUM('By Lot - West Campus'!N1780+'By Lot - West Campus'!N1797+'By Lot - West Campus'!N1814+'By Lot - West Campus'!N1831+'By Lot - West Campus'!N1848)</f>
        <v>7</v>
      </c>
      <c r="M81" s="31">
        <f>SUM('By Lot - West Campus'!O1780+'By Lot - West Campus'!O1797+'By Lot - West Campus'!O1814+'By Lot - West Campus'!O1831+'By Lot - West Campus'!O1848)</f>
        <v>8</v>
      </c>
      <c r="N81" s="6">
        <f t="shared" si="30"/>
        <v>7</v>
      </c>
      <c r="O81" s="6">
        <f t="shared" si="31"/>
        <v>6</v>
      </c>
      <c r="P81" s="59">
        <f t="shared" si="32"/>
        <v>0.46153846153846156</v>
      </c>
      <c r="Q81" s="6"/>
    </row>
    <row r="82" spans="1:17" ht="11.25" customHeight="1" outlineLevel="1" x14ac:dyDescent="0.4">
      <c r="A82" s="17"/>
      <c r="B82" s="32" t="s">
        <v>312</v>
      </c>
      <c r="C82" s="17">
        <f>SUM('By Lot - West Campus'!E1781,'By Lot - West Campus'!E1798,'By Lot - West Campus'!E1815,'By Lot - West Campus'!E1832,'By Lot - West Campus'!E1849)</f>
        <v>2</v>
      </c>
      <c r="D82" s="6">
        <f>SUM('By Lot - West Campus'!F1781)</f>
        <v>1</v>
      </c>
      <c r="E82" s="6">
        <f>SUM('By Lot - West Campus'!G1781)</f>
        <v>2</v>
      </c>
      <c r="F82" s="6">
        <f>SUM('By Lot - West Campus'!H1781)</f>
        <v>2</v>
      </c>
      <c r="G82" s="6">
        <f>SUM('By Lot - West Campus'!I1781)</f>
        <v>2</v>
      </c>
      <c r="H82" s="6">
        <f>SUM('By Lot - West Campus'!J1781)</f>
        <v>1</v>
      </c>
      <c r="I82" s="6">
        <f>SUM('By Lot - West Campus'!K1781)</f>
        <v>1</v>
      </c>
      <c r="J82" s="6">
        <f>SUM('By Lot - West Campus'!L1781)</f>
        <v>1</v>
      </c>
      <c r="K82" s="6">
        <f>SUM('By Lot - West Campus'!M1781)</f>
        <v>0</v>
      </c>
      <c r="L82" s="6">
        <f>SUM('By Lot - West Campus'!N1781)</f>
        <v>0</v>
      </c>
      <c r="M82" s="31">
        <f>SUM('By Lot - West Campus'!O1781)</f>
        <v>0</v>
      </c>
      <c r="N82" s="6">
        <f t="shared" si="30"/>
        <v>0</v>
      </c>
      <c r="O82" s="6">
        <f t="shared" si="31"/>
        <v>2</v>
      </c>
      <c r="P82" s="59">
        <f t="shared" si="32"/>
        <v>1</v>
      </c>
      <c r="Q82" s="6"/>
    </row>
    <row r="83" spans="1:17" ht="11.25" customHeight="1" outlineLevel="1" x14ac:dyDescent="0.4">
      <c r="A83" s="17"/>
      <c r="B83" s="32" t="s">
        <v>313</v>
      </c>
      <c r="C83" s="34"/>
      <c r="D83" s="6"/>
      <c r="E83" s="6"/>
      <c r="F83" s="6"/>
      <c r="G83" s="6"/>
      <c r="H83" s="6"/>
      <c r="I83" s="6"/>
      <c r="J83" s="6"/>
      <c r="K83" s="6"/>
      <c r="L83" s="6"/>
      <c r="M83" s="31"/>
      <c r="N83" s="6"/>
      <c r="O83" s="6"/>
      <c r="P83" s="59"/>
      <c r="Q83" s="6"/>
    </row>
    <row r="84" spans="1:17" ht="11.25" customHeight="1" x14ac:dyDescent="0.4">
      <c r="A84" s="442"/>
      <c r="B84" s="443" t="s">
        <v>314</v>
      </c>
      <c r="C84" s="448">
        <f t="shared" ref="C84:M84" si="33">SUM(C74:C83)</f>
        <v>1306</v>
      </c>
      <c r="D84" s="104">
        <f t="shared" si="33"/>
        <v>412</v>
      </c>
      <c r="E84" s="128">
        <f t="shared" si="33"/>
        <v>70</v>
      </c>
      <c r="F84" s="128">
        <f t="shared" si="33"/>
        <v>44</v>
      </c>
      <c r="G84" s="128">
        <f t="shared" si="33"/>
        <v>40</v>
      </c>
      <c r="H84" s="128">
        <f t="shared" si="33"/>
        <v>32</v>
      </c>
      <c r="I84" s="128">
        <f t="shared" si="33"/>
        <v>28</v>
      </c>
      <c r="J84" s="128">
        <f t="shared" si="33"/>
        <v>38</v>
      </c>
      <c r="K84" s="128">
        <f t="shared" si="33"/>
        <v>116</v>
      </c>
      <c r="L84" s="128">
        <f t="shared" si="33"/>
        <v>288</v>
      </c>
      <c r="M84" s="129">
        <f t="shared" si="33"/>
        <v>542</v>
      </c>
      <c r="N84" s="445">
        <f t="shared" ref="N84:N85" si="34">MIN(D84:M84)</f>
        <v>28</v>
      </c>
      <c r="O84" s="445">
        <f t="shared" ref="O84:O85" si="35">C84-N84</f>
        <v>1278</v>
      </c>
      <c r="P84" s="447">
        <f t="shared" ref="P84:P85" si="36">O84/C84</f>
        <v>0.97856049004594181</v>
      </c>
      <c r="Q84" s="6"/>
    </row>
    <row r="85" spans="1:17" ht="11.25" customHeight="1" outlineLevel="1" x14ac:dyDescent="0.4">
      <c r="A85" s="17" t="s">
        <v>547</v>
      </c>
      <c r="B85" s="17" t="s">
        <v>300</v>
      </c>
      <c r="C85" s="17">
        <f>SUM('By Lot - East Campus'!E94,'By Lot - East Campus'!E111)</f>
        <v>372</v>
      </c>
      <c r="D85" s="32">
        <f>SUM('By Lot - East Campus'!F94,'By Lot - East Campus'!F111)</f>
        <v>112</v>
      </c>
      <c r="E85" s="6">
        <f>SUM('By Lot - East Campus'!G94,'By Lot - East Campus'!G111)</f>
        <v>75</v>
      </c>
      <c r="F85" s="6">
        <f>SUM('By Lot - East Campus'!H94,'By Lot - East Campus'!H111)</f>
        <v>47</v>
      </c>
      <c r="G85" s="6">
        <f>SUM('By Lot - East Campus'!I94,'By Lot - East Campus'!I111)</f>
        <v>36</v>
      </c>
      <c r="H85" s="6">
        <f>SUM('By Lot - East Campus'!J94,'By Lot - East Campus'!J111)</f>
        <v>37</v>
      </c>
      <c r="I85" s="6">
        <f>SUM('By Lot - East Campus'!K94,'By Lot - East Campus'!K111)</f>
        <v>40</v>
      </c>
      <c r="J85" s="6">
        <f>SUM('By Lot - East Campus'!L94,'By Lot - East Campus'!L111)</f>
        <v>38</v>
      </c>
      <c r="K85" s="6">
        <f>SUM('By Lot - East Campus'!M94,'By Lot - East Campus'!M111)</f>
        <v>61</v>
      </c>
      <c r="L85" s="6">
        <f>SUM('By Lot - East Campus'!N94,'By Lot - East Campus'!N111)</f>
        <v>98</v>
      </c>
      <c r="M85" s="31">
        <f>SUM('By Lot - East Campus'!O94,'By Lot - East Campus'!O111)</f>
        <v>124</v>
      </c>
      <c r="N85" s="32">
        <f t="shared" si="34"/>
        <v>36</v>
      </c>
      <c r="O85" s="6">
        <f t="shared" si="35"/>
        <v>336</v>
      </c>
      <c r="P85" s="59">
        <f t="shared" si="36"/>
        <v>0.90322580645161288</v>
      </c>
      <c r="Q85" s="6"/>
    </row>
    <row r="86" spans="1:17" ht="11.25" customHeight="1" outlineLevel="1" x14ac:dyDescent="0.4">
      <c r="A86" s="17" t="s">
        <v>9</v>
      </c>
      <c r="B86" s="17" t="s">
        <v>301</v>
      </c>
      <c r="C86" s="17"/>
      <c r="D86" s="32"/>
      <c r="E86" s="6"/>
      <c r="F86" s="6"/>
      <c r="G86" s="6"/>
      <c r="H86" s="6"/>
      <c r="I86" s="6"/>
      <c r="J86" s="6"/>
      <c r="K86" s="6"/>
      <c r="L86" s="6"/>
      <c r="M86" s="31"/>
      <c r="N86" s="32"/>
      <c r="O86" s="6"/>
      <c r="P86" s="59"/>
      <c r="Q86" s="6"/>
    </row>
    <row r="87" spans="1:17" ht="11.25" customHeight="1" outlineLevel="1" x14ac:dyDescent="0.4">
      <c r="A87" s="17" t="s">
        <v>255</v>
      </c>
      <c r="B87" s="17" t="s">
        <v>303</v>
      </c>
      <c r="C87" s="17"/>
      <c r="D87" s="32"/>
      <c r="E87" s="6"/>
      <c r="F87" s="6"/>
      <c r="G87" s="6"/>
      <c r="H87" s="6"/>
      <c r="I87" s="6"/>
      <c r="J87" s="6"/>
      <c r="K87" s="6"/>
      <c r="L87" s="6"/>
      <c r="M87" s="31"/>
      <c r="N87" s="32"/>
      <c r="O87" s="6"/>
      <c r="P87" s="59"/>
      <c r="Q87" s="6"/>
    </row>
    <row r="88" spans="1:17" ht="11.25" customHeight="1" outlineLevel="1" x14ac:dyDescent="0.4">
      <c r="A88" s="17"/>
      <c r="B88" s="17" t="s">
        <v>307</v>
      </c>
      <c r="C88" s="17"/>
      <c r="D88" s="32"/>
      <c r="E88" s="6"/>
      <c r="F88" s="6"/>
      <c r="G88" s="6"/>
      <c r="H88" s="6"/>
      <c r="I88" s="6"/>
      <c r="J88" s="6"/>
      <c r="K88" s="6"/>
      <c r="L88" s="6"/>
      <c r="M88" s="31"/>
      <c r="N88" s="32"/>
      <c r="O88" s="6"/>
      <c r="P88" s="59"/>
      <c r="Q88" s="6"/>
    </row>
    <row r="89" spans="1:17" ht="11.25" customHeight="1" outlineLevel="1" x14ac:dyDescent="0.4">
      <c r="A89" s="17"/>
      <c r="B89" s="17" t="s">
        <v>308</v>
      </c>
      <c r="C89" s="17">
        <f>SUM('By Lot - East Campus'!E99,'By Lot - East Campus'!E116)</f>
        <v>37</v>
      </c>
      <c r="D89" s="32">
        <f>SUM('By Lot - East Campus'!F99,'By Lot - East Campus'!F116)</f>
        <v>21</v>
      </c>
      <c r="E89" s="6">
        <f>SUM('By Lot - East Campus'!G99,'By Lot - East Campus'!G116)</f>
        <v>19</v>
      </c>
      <c r="F89" s="6">
        <f>SUM('By Lot - East Campus'!H99,'By Lot - East Campus'!H116)</f>
        <v>19</v>
      </c>
      <c r="G89" s="6">
        <f>SUM('By Lot - East Campus'!I99,'By Lot - East Campus'!I116)</f>
        <v>20</v>
      </c>
      <c r="H89" s="6">
        <f>SUM('By Lot - East Campus'!J99,'By Lot - East Campus'!J116)</f>
        <v>19</v>
      </c>
      <c r="I89" s="6">
        <f>SUM('By Lot - East Campus'!K99,'By Lot - East Campus'!K116)</f>
        <v>22</v>
      </c>
      <c r="J89" s="6">
        <f>SUM('By Lot - East Campus'!L99,'By Lot - East Campus'!L116)</f>
        <v>20</v>
      </c>
      <c r="K89" s="6">
        <f>SUM('By Lot - East Campus'!M99,'By Lot - East Campus'!M116)</f>
        <v>19</v>
      </c>
      <c r="L89" s="6">
        <f>SUM('By Lot - East Campus'!N99,'By Lot - East Campus'!N116)</f>
        <v>22</v>
      </c>
      <c r="M89" s="31">
        <f>SUM('By Lot - East Campus'!O99,'By Lot - East Campus'!O116)</f>
        <v>26</v>
      </c>
      <c r="N89" s="32">
        <f t="shared" ref="N89:N91" si="37">MIN(D89:M89)</f>
        <v>19</v>
      </c>
      <c r="O89" s="6">
        <f t="shared" ref="O89:O91" si="38">C89-N89</f>
        <v>18</v>
      </c>
      <c r="P89" s="59">
        <f t="shared" ref="P89:P91" si="39">O89/C89</f>
        <v>0.48648648648648651</v>
      </c>
      <c r="Q89" s="6"/>
    </row>
    <row r="90" spans="1:17" ht="11.25" customHeight="1" outlineLevel="1" x14ac:dyDescent="0.4">
      <c r="A90" s="17"/>
      <c r="B90" s="17" t="s">
        <v>309</v>
      </c>
      <c r="C90" s="17">
        <f>SUM('By Lot - East Campus'!E100:E105,'By Lot - East Campus'!E117:E122)</f>
        <v>3</v>
      </c>
      <c r="D90" s="32">
        <f>SUM('By Lot - East Campus'!F100:F105,'By Lot - East Campus'!F117:F122)</f>
        <v>0</v>
      </c>
      <c r="E90" s="6">
        <f>SUM('By Lot - East Campus'!G100:G105,'By Lot - East Campus'!G117:G122)</f>
        <v>2</v>
      </c>
      <c r="F90" s="6">
        <f>SUM('By Lot - East Campus'!H100:H105,'By Lot - East Campus'!H117:H122)</f>
        <v>0</v>
      </c>
      <c r="G90" s="6">
        <f>SUM('By Lot - East Campus'!I100:I105,'By Lot - East Campus'!I117:I122)</f>
        <v>0</v>
      </c>
      <c r="H90" s="6">
        <f>SUM('By Lot - East Campus'!J100:J105,'By Lot - East Campus'!J117:J122)</f>
        <v>1</v>
      </c>
      <c r="I90" s="6">
        <f>SUM('By Lot - East Campus'!K100:K105,'By Lot - East Campus'!K117:K122)</f>
        <v>0</v>
      </c>
      <c r="J90" s="6">
        <f>SUM('By Lot - East Campus'!L100:L105,'By Lot - East Campus'!L117:L122)</f>
        <v>1</v>
      </c>
      <c r="K90" s="6">
        <f>SUM('By Lot - East Campus'!M100:M105,'By Lot - East Campus'!M117:M122)</f>
        <v>1</v>
      </c>
      <c r="L90" s="6">
        <f>SUM('By Lot - East Campus'!N100:N105,'By Lot - East Campus'!N117:N122)</f>
        <v>1</v>
      </c>
      <c r="M90" s="31">
        <f>SUM('By Lot - East Campus'!O100:O105,'By Lot - East Campus'!O117:O122)</f>
        <v>0</v>
      </c>
      <c r="N90" s="32">
        <f t="shared" si="37"/>
        <v>0</v>
      </c>
      <c r="O90" s="6">
        <f t="shared" si="38"/>
        <v>3</v>
      </c>
      <c r="P90" s="59">
        <f t="shared" si="39"/>
        <v>1</v>
      </c>
      <c r="Q90" s="6"/>
    </row>
    <row r="91" spans="1:17" ht="11.25" customHeight="1" outlineLevel="1" x14ac:dyDescent="0.4">
      <c r="A91" s="17"/>
      <c r="B91" s="17" t="s">
        <v>310</v>
      </c>
      <c r="C91" s="17">
        <f>SUM('By Lot - East Campus'!E106,'By Lot - East Campus'!E123)</f>
        <v>12</v>
      </c>
      <c r="D91" s="32">
        <f>SUM('By Lot - East Campus'!F106,'By Lot - East Campus'!F123)</f>
        <v>10</v>
      </c>
      <c r="E91" s="6">
        <f>SUM('By Lot - East Campus'!G106,'By Lot - East Campus'!G123)</f>
        <v>9</v>
      </c>
      <c r="F91" s="6">
        <f>SUM('By Lot - East Campus'!H106,'By Lot - East Campus'!H123)</f>
        <v>7</v>
      </c>
      <c r="G91" s="6">
        <f>SUM('By Lot - East Campus'!I106,'By Lot - East Campus'!I123)</f>
        <v>7</v>
      </c>
      <c r="H91" s="6">
        <f>SUM('By Lot - East Campus'!J106,'By Lot - East Campus'!J123)</f>
        <v>7</v>
      </c>
      <c r="I91" s="6">
        <f>SUM('By Lot - East Campus'!K106,'By Lot - East Campus'!K123)</f>
        <v>9</v>
      </c>
      <c r="J91" s="6">
        <f>SUM('By Lot - East Campus'!L106,'By Lot - East Campus'!L123)</f>
        <v>8</v>
      </c>
      <c r="K91" s="6">
        <f>SUM('By Lot - East Campus'!M106,'By Lot - East Campus'!M123)</f>
        <v>8</v>
      </c>
      <c r="L91" s="6">
        <f>SUM('By Lot - East Campus'!N106,'By Lot - East Campus'!N123)</f>
        <v>9</v>
      </c>
      <c r="M91" s="31">
        <f>SUM('By Lot - East Campus'!O106,'By Lot - East Campus'!O123)</f>
        <v>9</v>
      </c>
      <c r="N91" s="32">
        <f t="shared" si="37"/>
        <v>7</v>
      </c>
      <c r="O91" s="6">
        <f t="shared" si="38"/>
        <v>5</v>
      </c>
      <c r="P91" s="59">
        <f t="shared" si="39"/>
        <v>0.41666666666666669</v>
      </c>
      <c r="Q91" s="6"/>
    </row>
    <row r="92" spans="1:17" ht="11.25" customHeight="1" outlineLevel="1" x14ac:dyDescent="0.4">
      <c r="A92" s="17"/>
      <c r="B92" s="17" t="s">
        <v>311</v>
      </c>
      <c r="C92" s="17"/>
      <c r="D92" s="32"/>
      <c r="E92" s="6"/>
      <c r="F92" s="6"/>
      <c r="G92" s="6"/>
      <c r="H92" s="6"/>
      <c r="I92" s="6"/>
      <c r="J92" s="6"/>
      <c r="K92" s="6"/>
      <c r="L92" s="6"/>
      <c r="M92" s="31"/>
      <c r="N92" s="32"/>
      <c r="O92" s="6"/>
      <c r="P92" s="59"/>
      <c r="Q92" s="6"/>
    </row>
    <row r="93" spans="1:17" ht="11.25" customHeight="1" outlineLevel="1" x14ac:dyDescent="0.4">
      <c r="A93" s="17"/>
      <c r="B93" s="17" t="s">
        <v>312</v>
      </c>
      <c r="C93" s="17"/>
      <c r="D93" s="32"/>
      <c r="E93" s="6"/>
      <c r="F93" s="6"/>
      <c r="G93" s="6"/>
      <c r="H93" s="6"/>
      <c r="I93" s="6"/>
      <c r="J93" s="6"/>
      <c r="K93" s="6"/>
      <c r="L93" s="6"/>
      <c r="M93" s="31"/>
      <c r="N93" s="32"/>
      <c r="O93" s="6"/>
      <c r="P93" s="59"/>
      <c r="Q93" s="6"/>
    </row>
    <row r="94" spans="1:17" ht="11.25" customHeight="1" outlineLevel="1" x14ac:dyDescent="0.4">
      <c r="A94" s="17"/>
      <c r="B94" s="17" t="s">
        <v>313</v>
      </c>
      <c r="C94" s="17"/>
      <c r="D94" s="32"/>
      <c r="E94" s="6"/>
      <c r="F94" s="6"/>
      <c r="G94" s="6"/>
      <c r="H94" s="6"/>
      <c r="I94" s="6"/>
      <c r="J94" s="6"/>
      <c r="K94" s="6"/>
      <c r="L94" s="6"/>
      <c r="M94" s="31"/>
      <c r="N94" s="32"/>
      <c r="O94" s="6"/>
      <c r="P94" s="59"/>
      <c r="Q94" s="6"/>
    </row>
    <row r="95" spans="1:17" ht="11.25" customHeight="1" x14ac:dyDescent="0.4">
      <c r="A95" s="34"/>
      <c r="B95" s="65" t="s">
        <v>314</v>
      </c>
      <c r="C95" s="65">
        <f t="shared" ref="C95:M95" si="40">SUM(C85:C94)</f>
        <v>424</v>
      </c>
      <c r="D95" s="104">
        <f t="shared" si="40"/>
        <v>143</v>
      </c>
      <c r="E95" s="128">
        <f t="shared" si="40"/>
        <v>105</v>
      </c>
      <c r="F95" s="128">
        <f t="shared" si="40"/>
        <v>73</v>
      </c>
      <c r="G95" s="128">
        <f t="shared" si="40"/>
        <v>63</v>
      </c>
      <c r="H95" s="128">
        <f t="shared" si="40"/>
        <v>64</v>
      </c>
      <c r="I95" s="128">
        <f t="shared" si="40"/>
        <v>71</v>
      </c>
      <c r="J95" s="128">
        <f t="shared" si="40"/>
        <v>67</v>
      </c>
      <c r="K95" s="128">
        <f t="shared" si="40"/>
        <v>89</v>
      </c>
      <c r="L95" s="128">
        <f t="shared" si="40"/>
        <v>130</v>
      </c>
      <c r="M95" s="129">
        <f t="shared" si="40"/>
        <v>159</v>
      </c>
      <c r="N95" s="104">
        <f t="shared" ref="N95:N96" si="41">MIN(D95:M95)</f>
        <v>63</v>
      </c>
      <c r="O95" s="128">
        <f t="shared" ref="O95:O96" si="42">C95-N95</f>
        <v>361</v>
      </c>
      <c r="P95" s="72">
        <f t="shared" ref="P95:P96" si="43">O95/C95</f>
        <v>0.85141509433962259</v>
      </c>
      <c r="Q95" s="6"/>
    </row>
    <row r="96" spans="1:17" ht="11.25" customHeight="1" outlineLevel="1" x14ac:dyDescent="0.4">
      <c r="A96" s="15" t="s">
        <v>547</v>
      </c>
      <c r="B96" s="17" t="s">
        <v>300</v>
      </c>
      <c r="C96" s="17">
        <f>SUM('By Lot - East Campus'!E145,'By Lot - East Campus'!E162,'By Lot - East Campus'!E179,'By Lot - East Campus'!E196,'By Lot - East Campus'!E213)</f>
        <v>7</v>
      </c>
      <c r="D96" s="32">
        <f>SUM('By Lot - East Campus'!F145,'By Lot - East Campus'!F162,'By Lot - East Campus'!F179,'By Lot - East Campus'!F196,'By Lot - East Campus'!F213)</f>
        <v>0</v>
      </c>
      <c r="E96" s="6">
        <f>SUM('By Lot - East Campus'!G145,'By Lot - East Campus'!G162,'By Lot - East Campus'!G179,'By Lot - East Campus'!G196,'By Lot - East Campus'!G213)</f>
        <v>0</v>
      </c>
      <c r="F96" s="6">
        <f>SUM('By Lot - East Campus'!H145,'By Lot - East Campus'!H162,'By Lot - East Campus'!H179,'By Lot - East Campus'!H196,'By Lot - East Campus'!H213)</f>
        <v>0</v>
      </c>
      <c r="G96" s="6">
        <f>SUM('By Lot - East Campus'!I145,'By Lot - East Campus'!I162,'By Lot - East Campus'!I179,'By Lot - East Campus'!I196,'By Lot - East Campus'!I213)</f>
        <v>0</v>
      </c>
      <c r="H96" s="6">
        <f>SUM('By Lot - East Campus'!J145,'By Lot - East Campus'!J162,'By Lot - East Campus'!J179,'By Lot - East Campus'!J196,'By Lot - East Campus'!J213)</f>
        <v>0</v>
      </c>
      <c r="I96" s="6">
        <f>SUM('By Lot - East Campus'!K145,'By Lot - East Campus'!K162,'By Lot - East Campus'!K179,'By Lot - East Campus'!K196,'By Lot - East Campus'!K213)</f>
        <v>0</v>
      </c>
      <c r="J96" s="6">
        <f>SUM('By Lot - East Campus'!L145,'By Lot - East Campus'!L162,'By Lot - East Campus'!L179,'By Lot - East Campus'!L196,'By Lot - East Campus'!L213)</f>
        <v>0</v>
      </c>
      <c r="K96" s="6">
        <f>SUM('By Lot - East Campus'!M145,'By Lot - East Campus'!M162,'By Lot - East Campus'!M179,'By Lot - East Campus'!M196,'By Lot - East Campus'!M213)</f>
        <v>0</v>
      </c>
      <c r="L96" s="6">
        <f>SUM('By Lot - East Campus'!N145,'By Lot - East Campus'!N162,'By Lot - East Campus'!N179,'By Lot - East Campus'!N196,'By Lot - East Campus'!N213)</f>
        <v>0</v>
      </c>
      <c r="M96" s="31">
        <f>SUM('By Lot - East Campus'!O145,'By Lot - East Campus'!O162,'By Lot - East Campus'!O179,'By Lot - East Campus'!O196,'By Lot - East Campus'!O213)</f>
        <v>0</v>
      </c>
      <c r="N96" s="32">
        <f t="shared" si="41"/>
        <v>0</v>
      </c>
      <c r="O96" s="6">
        <f t="shared" si="42"/>
        <v>7</v>
      </c>
      <c r="P96" s="59">
        <f t="shared" si="43"/>
        <v>1</v>
      </c>
      <c r="Q96" s="6"/>
    </row>
    <row r="97" spans="1:17" ht="11.25" customHeight="1" outlineLevel="1" x14ac:dyDescent="0.4">
      <c r="A97" s="17" t="s">
        <v>8</v>
      </c>
      <c r="B97" s="17" t="s">
        <v>301</v>
      </c>
      <c r="C97" s="17"/>
      <c r="D97" s="32"/>
      <c r="E97" s="6"/>
      <c r="F97" s="6"/>
      <c r="G97" s="6"/>
      <c r="H97" s="6"/>
      <c r="I97" s="6"/>
      <c r="J97" s="6"/>
      <c r="K97" s="6"/>
      <c r="L97" s="6"/>
      <c r="M97" s="31"/>
      <c r="N97" s="32"/>
      <c r="O97" s="6"/>
      <c r="P97" s="59"/>
      <c r="Q97" s="6"/>
    </row>
    <row r="98" spans="1:17" ht="11.25" customHeight="1" outlineLevel="1" x14ac:dyDescent="0.4">
      <c r="A98" s="17" t="s">
        <v>266</v>
      </c>
      <c r="B98" s="17" t="s">
        <v>303</v>
      </c>
      <c r="C98" s="17"/>
      <c r="D98" s="32"/>
      <c r="E98" s="6"/>
      <c r="F98" s="6"/>
      <c r="G98" s="6"/>
      <c r="H98" s="6"/>
      <c r="I98" s="6"/>
      <c r="J98" s="6"/>
      <c r="K98" s="6"/>
      <c r="L98" s="6"/>
      <c r="M98" s="31"/>
      <c r="N98" s="32"/>
      <c r="O98" s="6"/>
      <c r="P98" s="59"/>
      <c r="Q98" s="6"/>
    </row>
    <row r="99" spans="1:17" ht="11.25" customHeight="1" outlineLevel="1" x14ac:dyDescent="0.4">
      <c r="A99" s="17"/>
      <c r="B99" s="17" t="s">
        <v>307</v>
      </c>
      <c r="C99" s="17">
        <f>SUM(CPWV1,CPWV2,CPWV3,'By Lot - East Campus'!E199:E200,'By Lot - East Campus'!E216:E217)</f>
        <v>614</v>
      </c>
      <c r="D99" s="32">
        <f>SUM('By Lot - East Campus'!F148:F149,'By Lot - East Campus'!F165:F166,'By Lot - East Campus'!F182:F183,'By Lot - East Campus'!F199:F200,'By Lot - East Campus'!F216:F217)</f>
        <v>250</v>
      </c>
      <c r="E99" s="6">
        <f>SUM('By Lot - East Campus'!G148:G149,'By Lot - East Campus'!G165:G166,'By Lot - East Campus'!G182:G183,'By Lot - East Campus'!G199:G200,'By Lot - East Campus'!G216:G217)</f>
        <v>119</v>
      </c>
      <c r="F99" s="6">
        <f>SUM('By Lot - East Campus'!H148:H149,'By Lot - East Campus'!H165:H166,'By Lot - East Campus'!H182:H183,'By Lot - East Campus'!H199:H200,'By Lot - East Campus'!H216:H217)</f>
        <v>114</v>
      </c>
      <c r="G99" s="6">
        <f>SUM('By Lot - East Campus'!I148:I149,'By Lot - East Campus'!I165:I166,'By Lot - East Campus'!I182:I183,'By Lot - East Campus'!I199:I200,'By Lot - East Campus'!I216:I217)</f>
        <v>53</v>
      </c>
      <c r="H99" s="6">
        <f>SUM('By Lot - East Campus'!J148:J149,'By Lot - East Campus'!J165:J166,'By Lot - East Campus'!J182:J183,'By Lot - East Campus'!J199:J200,'By Lot - East Campus'!J216:J217)</f>
        <v>40</v>
      </c>
      <c r="I99" s="6">
        <f>SUM('By Lot - East Campus'!K148:K149,'By Lot - East Campus'!K165:K166,'By Lot - East Campus'!K182:K183,'By Lot - East Campus'!K199:K200,'By Lot - East Campus'!K216:K217)</f>
        <v>34</v>
      </c>
      <c r="J99" s="6">
        <f>SUM('By Lot - East Campus'!L148:L149,'By Lot - East Campus'!L165:L166,'By Lot - East Campus'!L182:L183,'By Lot - East Campus'!L199:L200,'By Lot - East Campus'!L216:L217)</f>
        <v>0</v>
      </c>
      <c r="K99" s="6">
        <f>SUM('By Lot - East Campus'!M148:M149,'By Lot - East Campus'!M165:M166,'By Lot - East Campus'!M182:M183,'By Lot - East Campus'!M199:M200,'By Lot - East Campus'!M216:M217)</f>
        <v>15</v>
      </c>
      <c r="L99" s="6">
        <f>SUM('By Lot - East Campus'!N148:N149,'By Lot - East Campus'!N165:N166,'By Lot - East Campus'!N182:N183,'By Lot - East Campus'!N199:N200,'By Lot - East Campus'!N216:N217)</f>
        <v>81</v>
      </c>
      <c r="M99" s="31">
        <f>SUM('By Lot - East Campus'!O148:O149,'By Lot - East Campus'!O165:O166,'By Lot - East Campus'!O182:O183,'By Lot - East Campus'!O199:O200,'By Lot - East Campus'!O216:O217)</f>
        <v>139</v>
      </c>
      <c r="N99" s="32">
        <f t="shared" ref="N99:N102" si="44">MIN(D99:M99)</f>
        <v>0</v>
      </c>
      <c r="O99" s="6">
        <f t="shared" ref="O99:O102" si="45">C99-N99</f>
        <v>614</v>
      </c>
      <c r="P99" s="59">
        <f t="shared" ref="P99:P102" si="46">O99/C99</f>
        <v>1</v>
      </c>
      <c r="Q99" s="6"/>
    </row>
    <row r="100" spans="1:17" ht="11.25" customHeight="1" outlineLevel="1" x14ac:dyDescent="0.4">
      <c r="A100" s="17"/>
      <c r="B100" s="17" t="s">
        <v>308</v>
      </c>
      <c r="C100" s="17">
        <f>SUM('By Lot - East Campus'!E150,'By Lot - East Campus'!E167,'By Lot - East Campus'!E184,'By Lot - East Campus'!E201,'By Lot - East Campus'!E218)</f>
        <v>15</v>
      </c>
      <c r="D100" s="32">
        <f>SUM('By Lot - East Campus'!F150,'By Lot - East Campus'!F167,'By Lot - East Campus'!F184,'By Lot - East Campus'!F201,'By Lot - East Campus'!F218)</f>
        <v>13</v>
      </c>
      <c r="E100" s="6">
        <f>SUM('By Lot - East Campus'!G150,'By Lot - East Campus'!G167,'By Lot - East Campus'!G184,'By Lot - East Campus'!G201,'By Lot - East Campus'!G218)</f>
        <v>10</v>
      </c>
      <c r="F100" s="6">
        <f>SUM('By Lot - East Campus'!H150,'By Lot - East Campus'!H167,'By Lot - East Campus'!H184,'By Lot - East Campus'!H201,'By Lot - East Campus'!H218)</f>
        <v>10</v>
      </c>
      <c r="G100" s="6">
        <f>SUM('By Lot - East Campus'!I150,'By Lot - East Campus'!I167,'By Lot - East Campus'!I184,'By Lot - East Campus'!I201,'By Lot - East Campus'!I218)</f>
        <v>5</v>
      </c>
      <c r="H100" s="6">
        <f>SUM('By Lot - East Campus'!J150,'By Lot - East Campus'!J167,'By Lot - East Campus'!J184,'By Lot - East Campus'!J201,'By Lot - East Campus'!J218)</f>
        <v>10</v>
      </c>
      <c r="I100" s="6">
        <f>SUM('By Lot - East Campus'!K150,'By Lot - East Campus'!K167,'By Lot - East Campus'!K184,'By Lot - East Campus'!K201,'By Lot - East Campus'!K218)</f>
        <v>10</v>
      </c>
      <c r="J100" s="6">
        <f>SUM('By Lot - East Campus'!L150,'By Lot - East Campus'!L167,'By Lot - East Campus'!L184,'By Lot - East Campus'!L201,'By Lot - East Campus'!L218)</f>
        <v>6</v>
      </c>
      <c r="K100" s="6">
        <f>SUM('By Lot - East Campus'!M150,'By Lot - East Campus'!M167,'By Lot - East Campus'!M184,'By Lot - East Campus'!M201,'By Lot - East Campus'!M218)</f>
        <v>11</v>
      </c>
      <c r="L100" s="6">
        <f>SUM('By Lot - East Campus'!N150,'By Lot - East Campus'!N167,'By Lot - East Campus'!N184,'By Lot - East Campus'!N201,'By Lot - East Campus'!N218)</f>
        <v>13</v>
      </c>
      <c r="M100" s="31">
        <f>SUM('By Lot - East Campus'!O150,'By Lot - East Campus'!O167,'By Lot - East Campus'!O184,'By Lot - East Campus'!O201,'By Lot - East Campus'!O218)</f>
        <v>6</v>
      </c>
      <c r="N100" s="32">
        <f t="shared" si="44"/>
        <v>5</v>
      </c>
      <c r="O100" s="6">
        <f t="shared" si="45"/>
        <v>10</v>
      </c>
      <c r="P100" s="59">
        <f t="shared" si="46"/>
        <v>0.66666666666666663</v>
      </c>
      <c r="Q100" s="6"/>
    </row>
    <row r="101" spans="1:17" ht="11.25" customHeight="1" outlineLevel="1" x14ac:dyDescent="0.4">
      <c r="A101" s="17"/>
      <c r="B101" s="17" t="s">
        <v>309</v>
      </c>
      <c r="C101" s="17">
        <f>SUM('By Lot - East Campus'!E151:E156,'By Lot - East Campus'!E168:E173,'By Lot - East Campus'!E185:E190,'By Lot - East Campus'!E202:E207,'By Lot - East Campus'!E219:E224)</f>
        <v>17</v>
      </c>
      <c r="D101" s="54">
        <f>SUM('By Lot - East Campus'!F151:F156,'By Lot - East Campus'!F168:F173,'By Lot - East Campus'!F185:F190,'By Lot - East Campus'!F202:F207,'By Lot - East Campus'!F219:F224)</f>
        <v>6</v>
      </c>
      <c r="E101" s="58">
        <f>SUM('By Lot - East Campus'!G151:G156,'By Lot - East Campus'!G168:G173,'By Lot - East Campus'!G185:G190,'By Lot - East Campus'!G202:G207,'By Lot - East Campus'!G219:G224)</f>
        <v>5</v>
      </c>
      <c r="F101" s="58">
        <f>SUM('By Lot - East Campus'!H151:H156,'By Lot - East Campus'!H168:H173,'By Lot - East Campus'!H185:H190,'By Lot - East Campus'!H202:H207,'By Lot - East Campus'!H219:H224)</f>
        <v>5</v>
      </c>
      <c r="G101" s="58">
        <f>SUM('By Lot - East Campus'!I151:I156,'By Lot - East Campus'!I168:I173,'By Lot - East Campus'!I185:I190,'By Lot - East Campus'!I202:I207,'By Lot - East Campus'!I219:I224)</f>
        <v>1</v>
      </c>
      <c r="H101" s="58">
        <f>SUM('By Lot - East Campus'!J151:J156,'By Lot - East Campus'!J168:J173,'By Lot - East Campus'!J185:J190,'By Lot - East Campus'!J202:J207,'By Lot - East Campus'!J219:J224)</f>
        <v>1</v>
      </c>
      <c r="I101" s="58">
        <f>SUM('By Lot - East Campus'!K151:K156,'By Lot - East Campus'!K168:K173,'By Lot - East Campus'!K185:K190,'By Lot - East Campus'!K202:K207,'By Lot - East Campus'!K219:K224)</f>
        <v>2</v>
      </c>
      <c r="J101" s="58">
        <f>SUM('By Lot - East Campus'!L151:L156,'By Lot - East Campus'!L168:L173,'By Lot - East Campus'!L185:L190,'By Lot - East Campus'!L202:L207,'By Lot - East Campus'!L219:L224)</f>
        <v>0</v>
      </c>
      <c r="K101" s="58">
        <f>SUM('By Lot - East Campus'!M151:M156,'By Lot - East Campus'!M168:M173,'By Lot - East Campus'!M185:M190,'By Lot - East Campus'!M202:M207,'By Lot - East Campus'!M219:M224)</f>
        <v>2</v>
      </c>
      <c r="L101" s="58">
        <f>SUM('By Lot - East Campus'!N151:N156,'By Lot - East Campus'!N168:N173,'By Lot - East Campus'!N185:N190,'By Lot - East Campus'!N202:N207,'By Lot - East Campus'!N219:N224)</f>
        <v>2</v>
      </c>
      <c r="M101" s="60">
        <f>SUM('By Lot - East Campus'!O151:O156,'By Lot - East Campus'!O168:O173,'By Lot - East Campus'!O185:O190,'By Lot - East Campus'!O202:O207,'By Lot - East Campus'!O219:O224)</f>
        <v>2</v>
      </c>
      <c r="N101" s="54">
        <f t="shared" si="44"/>
        <v>0</v>
      </c>
      <c r="O101" s="58">
        <f t="shared" si="45"/>
        <v>17</v>
      </c>
      <c r="P101" s="59">
        <f t="shared" si="46"/>
        <v>1</v>
      </c>
      <c r="Q101" s="6"/>
    </row>
    <row r="102" spans="1:17" ht="11.25" customHeight="1" outlineLevel="1" x14ac:dyDescent="0.4">
      <c r="A102" s="17"/>
      <c r="B102" s="17" t="s">
        <v>310</v>
      </c>
      <c r="C102" s="17">
        <f>SUM('By Lot - East Campus'!E157,'By Lot - East Campus'!E174,'By Lot - East Campus'!E191,'By Lot - East Campus'!E208,'By Lot - East Campus'!E225)</f>
        <v>104</v>
      </c>
      <c r="D102" s="32">
        <f>SUM('By Lot - East Campus'!F157,'By Lot - East Campus'!F174,'By Lot - East Campus'!F191,'By Lot - East Campus'!F208,'By Lot - East Campus'!F225)</f>
        <v>43</v>
      </c>
      <c r="E102" s="6">
        <f>SUM('By Lot - East Campus'!G157,'By Lot - East Campus'!G174,'By Lot - East Campus'!G191,'By Lot - East Campus'!G208,'By Lot - East Campus'!G225)</f>
        <v>7</v>
      </c>
      <c r="F102" s="6">
        <f>SUM('By Lot - East Campus'!H157,'By Lot - East Campus'!H174,'By Lot - East Campus'!H191,'By Lot - East Campus'!H208,'By Lot - East Campus'!H225)</f>
        <v>9</v>
      </c>
      <c r="G102" s="6">
        <f>SUM('By Lot - East Campus'!I157,'By Lot - East Campus'!I174,'By Lot - East Campus'!I191,'By Lot - East Campus'!I208,'By Lot - East Campus'!I225)</f>
        <v>5</v>
      </c>
      <c r="H102" s="6">
        <f>SUM('By Lot - East Campus'!J157,'By Lot - East Campus'!J174,'By Lot - East Campus'!J191,'By Lot - East Campus'!J208,'By Lot - East Campus'!J225)</f>
        <v>3</v>
      </c>
      <c r="I102" s="6">
        <f>SUM('By Lot - East Campus'!K157,'By Lot - East Campus'!K174,'By Lot - East Campus'!K191,'By Lot - East Campus'!K208,'By Lot - East Campus'!K225)</f>
        <v>2</v>
      </c>
      <c r="J102" s="6">
        <f>SUM('By Lot - East Campus'!L157,'By Lot - East Campus'!L174,'By Lot - East Campus'!L191,'By Lot - East Campus'!L208,'By Lot - East Campus'!L225)</f>
        <v>3</v>
      </c>
      <c r="K102" s="6">
        <f>SUM('By Lot - East Campus'!M157,'By Lot - East Campus'!M174,'By Lot - East Campus'!M191,'By Lot - East Campus'!M208,'By Lot - East Campus'!M225)</f>
        <v>12</v>
      </c>
      <c r="L102" s="6">
        <f>SUM('By Lot - East Campus'!N157,'By Lot - East Campus'!N174,'By Lot - East Campus'!N191,'By Lot - East Campus'!N208,'By Lot - East Campus'!N225)</f>
        <v>24</v>
      </c>
      <c r="M102" s="31">
        <f>SUM('By Lot - East Campus'!O157,'By Lot - East Campus'!O174,'By Lot - East Campus'!O191,'By Lot - East Campus'!O208,'By Lot - East Campus'!O225)</f>
        <v>28</v>
      </c>
      <c r="N102" s="32">
        <f t="shared" si="44"/>
        <v>2</v>
      </c>
      <c r="O102" s="6">
        <f t="shared" si="45"/>
        <v>102</v>
      </c>
      <c r="P102" s="59">
        <f t="shared" si="46"/>
        <v>0.98076923076923073</v>
      </c>
      <c r="Q102" s="6"/>
    </row>
    <row r="103" spans="1:17" ht="11.25" customHeight="1" outlineLevel="1" x14ac:dyDescent="0.4">
      <c r="A103" s="17"/>
      <c r="B103" s="17" t="s">
        <v>311</v>
      </c>
      <c r="C103" s="17"/>
      <c r="D103" s="32"/>
      <c r="E103" s="6"/>
      <c r="F103" s="6"/>
      <c r="G103" s="6"/>
      <c r="H103" s="6"/>
      <c r="I103" s="6"/>
      <c r="J103" s="6"/>
      <c r="K103" s="6"/>
      <c r="L103" s="6"/>
      <c r="M103" s="31"/>
      <c r="N103" s="32"/>
      <c r="O103" s="6"/>
      <c r="P103" s="59"/>
      <c r="Q103" s="6"/>
    </row>
    <row r="104" spans="1:17" ht="11.25" customHeight="1" outlineLevel="1" x14ac:dyDescent="0.4">
      <c r="A104" s="17"/>
      <c r="B104" s="17" t="s">
        <v>312</v>
      </c>
      <c r="C104" s="17"/>
      <c r="D104" s="32"/>
      <c r="E104" s="6"/>
      <c r="F104" s="6"/>
      <c r="G104" s="6"/>
      <c r="H104" s="6"/>
      <c r="I104" s="6"/>
      <c r="J104" s="6"/>
      <c r="K104" s="6"/>
      <c r="L104" s="6"/>
      <c r="M104" s="31"/>
      <c r="N104" s="32"/>
      <c r="O104" s="6"/>
      <c r="P104" s="59"/>
      <c r="Q104" s="6"/>
    </row>
    <row r="105" spans="1:17" ht="11.25" customHeight="1" outlineLevel="1" x14ac:dyDescent="0.4">
      <c r="A105" s="17"/>
      <c r="B105" s="17" t="s">
        <v>313</v>
      </c>
      <c r="C105" s="17"/>
      <c r="D105" s="32"/>
      <c r="E105" s="6"/>
      <c r="F105" s="6"/>
      <c r="G105" s="6"/>
      <c r="H105" s="6"/>
      <c r="I105" s="6"/>
      <c r="J105" s="6"/>
      <c r="K105" s="6"/>
      <c r="L105" s="6"/>
      <c r="M105" s="31"/>
      <c r="N105" s="32"/>
      <c r="O105" s="6"/>
      <c r="P105" s="59"/>
      <c r="Q105" s="6"/>
    </row>
    <row r="106" spans="1:17" ht="11.25" customHeight="1" x14ac:dyDescent="0.4">
      <c r="A106" s="34"/>
      <c r="B106" s="65" t="s">
        <v>314</v>
      </c>
      <c r="C106" s="65">
        <f t="shared" ref="C106:M106" si="47">SUM(C96:C105)</f>
        <v>757</v>
      </c>
      <c r="D106" s="101">
        <f t="shared" si="47"/>
        <v>312</v>
      </c>
      <c r="E106" s="102">
        <f t="shared" si="47"/>
        <v>141</v>
      </c>
      <c r="F106" s="102">
        <f t="shared" si="47"/>
        <v>138</v>
      </c>
      <c r="G106" s="102">
        <f t="shared" si="47"/>
        <v>64</v>
      </c>
      <c r="H106" s="102">
        <f t="shared" si="47"/>
        <v>54</v>
      </c>
      <c r="I106" s="102">
        <f t="shared" si="47"/>
        <v>48</v>
      </c>
      <c r="J106" s="102">
        <f t="shared" si="47"/>
        <v>9</v>
      </c>
      <c r="K106" s="102">
        <f t="shared" si="47"/>
        <v>40</v>
      </c>
      <c r="L106" s="102">
        <f t="shared" si="47"/>
        <v>120</v>
      </c>
      <c r="M106" s="103">
        <f t="shared" si="47"/>
        <v>175</v>
      </c>
      <c r="N106" s="104">
        <f t="shared" ref="N106:N108" si="48">MIN(D106:M106)</f>
        <v>9</v>
      </c>
      <c r="O106" s="128">
        <f t="shared" ref="O106:O108" si="49">C106-N106</f>
        <v>748</v>
      </c>
      <c r="P106" s="72">
        <f t="shared" ref="P106:P108" si="50">O106/C106</f>
        <v>0.98811096433289303</v>
      </c>
      <c r="Q106" s="6"/>
    </row>
    <row r="107" spans="1:17" ht="11.25" customHeight="1" outlineLevel="1" x14ac:dyDescent="0.4">
      <c r="A107" s="17" t="s">
        <v>269</v>
      </c>
      <c r="B107" s="17" t="s">
        <v>300</v>
      </c>
      <c r="C107" s="32">
        <f>SUM('By Lot - East Campus'!E230+'By Lot - East Campus'!E247+'By Lot - East Campus'!E263+'By Lot - East Campus'!E280)</f>
        <v>187</v>
      </c>
      <c r="D107" s="73">
        <f>SUM('By Lot - East Campus'!F230+'By Lot - East Campus'!F247+'By Lot - East Campus'!F263+'By Lot - East Campus'!F280)</f>
        <v>122</v>
      </c>
      <c r="E107" s="108">
        <f>SUM('By Lot - East Campus'!G230+'By Lot - East Campus'!G247+'By Lot - East Campus'!G263+'By Lot - East Campus'!G280)</f>
        <v>86</v>
      </c>
      <c r="F107" s="108">
        <f>SUM('By Lot - East Campus'!H230+'By Lot - East Campus'!H247+'By Lot - East Campus'!H263+'By Lot - East Campus'!H280)</f>
        <v>72</v>
      </c>
      <c r="G107" s="108">
        <f>SUM('By Lot - East Campus'!I230+'By Lot - East Campus'!I247+'By Lot - East Campus'!I263+'By Lot - East Campus'!I280)</f>
        <v>66</v>
      </c>
      <c r="H107" s="108">
        <f>SUM('By Lot - East Campus'!J230+'By Lot - East Campus'!J247+'By Lot - East Campus'!J263+'By Lot - East Campus'!J280)</f>
        <v>78</v>
      </c>
      <c r="I107" s="108">
        <f>SUM('By Lot - East Campus'!K230+'By Lot - East Campus'!K247+'By Lot - East Campus'!K263+'By Lot - East Campus'!K280)</f>
        <v>68</v>
      </c>
      <c r="J107" s="108">
        <f>SUM('By Lot - East Campus'!L230+'By Lot - East Campus'!L247+'By Lot - East Campus'!L263+'By Lot - East Campus'!L280)</f>
        <v>74</v>
      </c>
      <c r="K107" s="108">
        <f>SUM('By Lot - East Campus'!M230+'By Lot - East Campus'!M247+'By Lot - East Campus'!M263+'By Lot - East Campus'!M280)</f>
        <v>85</v>
      </c>
      <c r="L107" s="108">
        <f>SUM('By Lot - East Campus'!N230+'By Lot - East Campus'!N247+'By Lot - East Campus'!N263+'By Lot - East Campus'!N280)</f>
        <v>99</v>
      </c>
      <c r="M107" s="109">
        <f>SUM('By Lot - East Campus'!O230+'By Lot - East Campus'!O247+'By Lot - East Campus'!O263+'By Lot - East Campus'!O280)</f>
        <v>112</v>
      </c>
      <c r="N107" s="6">
        <f t="shared" si="48"/>
        <v>66</v>
      </c>
      <c r="O107" s="6">
        <f t="shared" si="49"/>
        <v>121</v>
      </c>
      <c r="P107" s="59">
        <f t="shared" si="50"/>
        <v>0.6470588235294118</v>
      </c>
      <c r="Q107" s="6"/>
    </row>
    <row r="108" spans="1:17" ht="11.25" customHeight="1" outlineLevel="1" x14ac:dyDescent="0.4">
      <c r="A108" s="17" t="s">
        <v>271</v>
      </c>
      <c r="B108" s="17" t="s">
        <v>301</v>
      </c>
      <c r="C108" s="32">
        <f>SUM('By Lot - East Campus'!E332+'By Lot - East Campus'!E315+'By Lot - East Campus'!E298+'By Lot - East Campus'!E281+'By Lot - East Campus'!E264)</f>
        <v>654</v>
      </c>
      <c r="D108" s="32">
        <f>SUM('By Lot - East Campus'!F332+'By Lot - East Campus'!F315+'By Lot - East Campus'!F298+'By Lot - East Campus'!F281+'By Lot - East Campus'!F264)</f>
        <v>308</v>
      </c>
      <c r="E108" s="6">
        <f>SUM('By Lot - East Campus'!G332+'By Lot - East Campus'!G315+'By Lot - East Campus'!G298+'By Lot - East Campus'!G281+'By Lot - East Campus'!G264)</f>
        <v>233</v>
      </c>
      <c r="F108" s="6">
        <f>SUM('By Lot - East Campus'!H332+'By Lot - East Campus'!H315+'By Lot - East Campus'!H298+'By Lot - East Campus'!H281+'By Lot - East Campus'!H264)</f>
        <v>198</v>
      </c>
      <c r="G108" s="6">
        <f>SUM('By Lot - East Campus'!I332+'By Lot - East Campus'!I315+'By Lot - East Campus'!I298+'By Lot - East Campus'!I281+'By Lot - East Campus'!I264)</f>
        <v>198</v>
      </c>
      <c r="H108" s="6">
        <f>SUM('By Lot - East Campus'!J332+'By Lot - East Campus'!J315+'By Lot - East Campus'!J298+'By Lot - East Campus'!J281+'By Lot - East Campus'!J264)</f>
        <v>200</v>
      </c>
      <c r="I108" s="6">
        <f>SUM('By Lot - East Campus'!K332+'By Lot - East Campus'!K315+'By Lot - East Campus'!K298+'By Lot - East Campus'!K281+'By Lot - East Campus'!K264)</f>
        <v>198</v>
      </c>
      <c r="J108" s="6">
        <f>SUM('By Lot - East Campus'!L332+'By Lot - East Campus'!L315+'By Lot - East Campus'!L298+'By Lot - East Campus'!L281+'By Lot - East Campus'!L264)</f>
        <v>129</v>
      </c>
      <c r="K108" s="6">
        <f>SUM('By Lot - East Campus'!M332+'By Lot - East Campus'!M315+'By Lot - East Campus'!M298+'By Lot - East Campus'!M281+'By Lot - East Campus'!M264)</f>
        <v>144</v>
      </c>
      <c r="L108" s="6">
        <f>SUM('By Lot - East Campus'!N332+'By Lot - East Campus'!N315+'By Lot - East Campus'!N298+'By Lot - East Campus'!N281+'By Lot - East Campus'!N264)</f>
        <v>202</v>
      </c>
      <c r="M108" s="31">
        <f>SUM('By Lot - East Campus'!O332+'By Lot - East Campus'!O315+'By Lot - East Campus'!O298+'By Lot - East Campus'!O281+'By Lot - East Campus'!O264)</f>
        <v>135</v>
      </c>
      <c r="N108" s="6">
        <f t="shared" si="48"/>
        <v>129</v>
      </c>
      <c r="O108" s="6">
        <f t="shared" si="49"/>
        <v>525</v>
      </c>
      <c r="P108" s="59">
        <f t="shared" si="50"/>
        <v>0.80275229357798161</v>
      </c>
      <c r="Q108" s="6"/>
    </row>
    <row r="109" spans="1:17" ht="11.25" customHeight="1" outlineLevel="1" x14ac:dyDescent="0.4">
      <c r="A109" s="17"/>
      <c r="B109" s="17" t="s">
        <v>303</v>
      </c>
      <c r="C109" s="17"/>
      <c r="D109" s="32"/>
      <c r="E109" s="6"/>
      <c r="F109" s="6"/>
      <c r="G109" s="6"/>
      <c r="H109" s="6"/>
      <c r="I109" s="6"/>
      <c r="J109" s="6"/>
      <c r="K109" s="6"/>
      <c r="L109" s="6"/>
      <c r="M109" s="31"/>
      <c r="N109" s="32"/>
      <c r="O109" s="6"/>
      <c r="P109" s="59"/>
      <c r="Q109" s="6"/>
    </row>
    <row r="110" spans="1:17" ht="11.25" customHeight="1" outlineLevel="1" x14ac:dyDescent="0.4">
      <c r="A110" s="17"/>
      <c r="B110" s="17" t="s">
        <v>307</v>
      </c>
      <c r="C110" s="32">
        <f>SUM('By Lot - East Campus'!E233+'By Lot - East Campus'!E250+'By Lot - East Campus'!E266)</f>
        <v>218</v>
      </c>
      <c r="D110" s="32">
        <f>SUM('By Lot - East Campus'!F233+'By Lot - East Campus'!F250+'By Lot - East Campus'!F266)</f>
        <v>131</v>
      </c>
      <c r="E110" s="6">
        <f>SUM('By Lot - East Campus'!G233+'By Lot - East Campus'!G250+'By Lot - East Campus'!G266)</f>
        <v>64</v>
      </c>
      <c r="F110" s="6">
        <f>SUM('By Lot - East Campus'!H233+'By Lot - East Campus'!H250+'By Lot - East Campus'!H266)</f>
        <v>43</v>
      </c>
      <c r="G110" s="6">
        <f>SUM('By Lot - East Campus'!I233+'By Lot - East Campus'!I250+'By Lot - East Campus'!I266)</f>
        <v>38</v>
      </c>
      <c r="H110" s="6">
        <f>SUM('By Lot - East Campus'!J233+'By Lot - East Campus'!J250+'By Lot - East Campus'!J266)</f>
        <v>58</v>
      </c>
      <c r="I110" s="6">
        <f>SUM('By Lot - East Campus'!K233+'By Lot - East Campus'!K250+'By Lot - East Campus'!K266)</f>
        <v>48</v>
      </c>
      <c r="J110" s="6">
        <f>SUM('By Lot - East Campus'!L233+'By Lot - East Campus'!L250+'By Lot - East Campus'!L266)</f>
        <v>67</v>
      </c>
      <c r="K110" s="6">
        <f>SUM('By Lot - East Campus'!M233+'By Lot - East Campus'!M250+'By Lot - East Campus'!M266)</f>
        <v>70</v>
      </c>
      <c r="L110" s="6">
        <f>SUM('By Lot - East Campus'!N233+'By Lot - East Campus'!N250+'By Lot - East Campus'!N266)</f>
        <v>102</v>
      </c>
      <c r="M110" s="31">
        <f>SUM('By Lot - East Campus'!O233+'By Lot - East Campus'!O250+'By Lot - East Campus'!O266)</f>
        <v>112</v>
      </c>
      <c r="N110" s="6">
        <f t="shared" ref="N110:N113" si="51">MIN(D110:M110)</f>
        <v>38</v>
      </c>
      <c r="O110" s="6">
        <f t="shared" ref="O110:O113" si="52">C110-N110</f>
        <v>180</v>
      </c>
      <c r="P110" s="59">
        <f t="shared" ref="P110:P113" si="53">O110/C110</f>
        <v>0.82568807339449546</v>
      </c>
      <c r="Q110" s="6"/>
    </row>
    <row r="111" spans="1:17" ht="11.25" customHeight="1" outlineLevel="1" x14ac:dyDescent="0.4">
      <c r="A111" s="17"/>
      <c r="B111" s="17" t="s">
        <v>308</v>
      </c>
      <c r="C111" s="32">
        <f>SUM('By Lot - East Campus'!E285)</f>
        <v>6</v>
      </c>
      <c r="D111" s="32">
        <f>SUM('By Lot - East Campus'!F285)</f>
        <v>6</v>
      </c>
      <c r="E111" s="6">
        <f>SUM('By Lot - East Campus'!G285)</f>
        <v>6</v>
      </c>
      <c r="F111" s="6">
        <f>SUM('By Lot - East Campus'!H285)</f>
        <v>5</v>
      </c>
      <c r="G111" s="6">
        <f>SUM('By Lot - East Campus'!I285)</f>
        <v>4</v>
      </c>
      <c r="H111" s="6">
        <f>SUM('By Lot - East Campus'!J285)</f>
        <v>5</v>
      </c>
      <c r="I111" s="6">
        <f>SUM('By Lot - East Campus'!K285)</f>
        <v>5</v>
      </c>
      <c r="J111" s="6">
        <f>SUM('By Lot - East Campus'!L285)</f>
        <v>5</v>
      </c>
      <c r="K111" s="6">
        <f>SUM('By Lot - East Campus'!M285)</f>
        <v>5</v>
      </c>
      <c r="L111" s="6">
        <f>SUM('By Lot - East Campus'!N285)</f>
        <v>5</v>
      </c>
      <c r="M111" s="31">
        <f>SUM('By Lot - East Campus'!O285)</f>
        <v>5</v>
      </c>
      <c r="N111" s="6">
        <f t="shared" si="51"/>
        <v>4</v>
      </c>
      <c r="O111" s="6">
        <f t="shared" si="52"/>
        <v>2</v>
      </c>
      <c r="P111" s="59">
        <f t="shared" si="53"/>
        <v>0.33333333333333331</v>
      </c>
      <c r="Q111" s="6"/>
    </row>
    <row r="112" spans="1:17" ht="11.25" customHeight="1" outlineLevel="1" x14ac:dyDescent="0.4">
      <c r="A112" s="17"/>
      <c r="B112" s="17" t="s">
        <v>309</v>
      </c>
      <c r="C112" s="32">
        <f>SUM('By Lot - East Campus'!E236,'By Lot - East Campus'!E237,'By Lot - East Campus'!E252:E253,'By Lot - East Campus'!E303,'By Lot - East Campus'!E320)</f>
        <v>89</v>
      </c>
      <c r="D112" s="32">
        <f>SUM('By Lot - East Campus'!F236,'By Lot - East Campus'!F237,'By Lot - East Campus'!F252:F253,'By Lot - East Campus'!F303,'By Lot - East Campus'!F320)</f>
        <v>64</v>
      </c>
      <c r="E112" s="6">
        <f>SUM('By Lot - East Campus'!G236,'By Lot - East Campus'!G237,'By Lot - East Campus'!G252:G253,'By Lot - East Campus'!G303,'By Lot - East Campus'!G320)</f>
        <v>56</v>
      </c>
      <c r="F112" s="6">
        <f>SUM('By Lot - East Campus'!H236,'By Lot - East Campus'!H237,'By Lot - East Campus'!H252:H253,'By Lot - East Campus'!H303,'By Lot - East Campus'!H320)</f>
        <v>50</v>
      </c>
      <c r="G112" s="6">
        <f>SUM('By Lot - East Campus'!I236,'By Lot - East Campus'!I237,'By Lot - East Campus'!I252:I253,'By Lot - East Campus'!I303,'By Lot - East Campus'!I320)</f>
        <v>50</v>
      </c>
      <c r="H112" s="6">
        <f>SUM('By Lot - East Campus'!J236,'By Lot - East Campus'!J237,'By Lot - East Campus'!J252:J253,'By Lot - East Campus'!J303,'By Lot - East Campus'!J320)</f>
        <v>38</v>
      </c>
      <c r="I112" s="6">
        <f>SUM('By Lot - East Campus'!K236,'By Lot - East Campus'!K237,'By Lot - East Campus'!K252:K253,'By Lot - East Campus'!K303,'By Lot - East Campus'!K320)</f>
        <v>43</v>
      </c>
      <c r="J112" s="6">
        <f>SUM('By Lot - East Campus'!L236,'By Lot - East Campus'!L237,'By Lot - East Campus'!L252:L253,'By Lot - East Campus'!L303,'By Lot - East Campus'!L320)</f>
        <v>47</v>
      </c>
      <c r="K112" s="6">
        <f>SUM('By Lot - East Campus'!M236,'By Lot - East Campus'!M237,'By Lot - East Campus'!M252:M253,'By Lot - East Campus'!M303,'By Lot - East Campus'!M320)</f>
        <v>45</v>
      </c>
      <c r="L112" s="6">
        <f>SUM('By Lot - East Campus'!N236,'By Lot - East Campus'!N237,'By Lot - East Campus'!N252:N253,'By Lot - East Campus'!N303,'By Lot - East Campus'!N320)</f>
        <v>55</v>
      </c>
      <c r="M112" s="31">
        <f>SUM('By Lot - East Campus'!O236,'By Lot - East Campus'!O237,'By Lot - East Campus'!O252:O253,'By Lot - East Campus'!O303,'By Lot - East Campus'!O320)</f>
        <v>61</v>
      </c>
      <c r="N112" s="6">
        <f t="shared" si="51"/>
        <v>38</v>
      </c>
      <c r="O112" s="6">
        <f t="shared" si="52"/>
        <v>51</v>
      </c>
      <c r="P112" s="59">
        <f t="shared" si="53"/>
        <v>0.5730337078651685</v>
      </c>
      <c r="Q112" s="6"/>
    </row>
    <row r="113" spans="1:17" ht="11.25" customHeight="1" outlineLevel="1" x14ac:dyDescent="0.4">
      <c r="A113" s="17"/>
      <c r="B113" s="17" t="s">
        <v>310</v>
      </c>
      <c r="C113" s="32">
        <f>SUM('By Lot - East Campus'!E275+'By Lot - East Campus'!E258+'By Lot - East Campus'!E242)</f>
        <v>81</v>
      </c>
      <c r="D113" s="32">
        <f>SUM('By Lot - East Campus'!F275+'By Lot - East Campus'!F258+'By Lot - East Campus'!F242)</f>
        <v>67</v>
      </c>
      <c r="E113" s="6">
        <f>SUM('By Lot - East Campus'!G275+'By Lot - East Campus'!G258+'By Lot - East Campus'!G242)</f>
        <v>57</v>
      </c>
      <c r="F113" s="6">
        <f>SUM('By Lot - East Campus'!H275+'By Lot - East Campus'!H258+'By Lot - East Campus'!H242)</f>
        <v>29</v>
      </c>
      <c r="G113" s="6">
        <f>SUM('By Lot - East Campus'!I275+'By Lot - East Campus'!I258+'By Lot - East Campus'!I242)</f>
        <v>26</v>
      </c>
      <c r="H113" s="6">
        <f>SUM('By Lot - East Campus'!J275+'By Lot - East Campus'!J258+'By Lot - East Campus'!J242)</f>
        <v>71</v>
      </c>
      <c r="I113" s="6">
        <f>SUM('By Lot - East Campus'!K275+'By Lot - East Campus'!K258+'By Lot - East Campus'!K242)</f>
        <v>29</v>
      </c>
      <c r="J113" s="6">
        <f>SUM('By Lot - East Campus'!L275+'By Lot - East Campus'!L258+'By Lot - East Campus'!L242)</f>
        <v>39</v>
      </c>
      <c r="K113" s="6">
        <f>SUM('By Lot - East Campus'!M275+'By Lot - East Campus'!M258+'By Lot - East Campus'!M242)</f>
        <v>44</v>
      </c>
      <c r="L113" s="6">
        <f>SUM('By Lot - East Campus'!N275+'By Lot - East Campus'!N258+'By Lot - East Campus'!N242)</f>
        <v>54</v>
      </c>
      <c r="M113" s="31">
        <f>SUM('By Lot - East Campus'!O275+'By Lot - East Campus'!O258+'By Lot - East Campus'!O242)</f>
        <v>56</v>
      </c>
      <c r="N113" s="6">
        <f t="shared" si="51"/>
        <v>26</v>
      </c>
      <c r="O113" s="6">
        <f t="shared" si="52"/>
        <v>55</v>
      </c>
      <c r="P113" s="59">
        <f t="shared" si="53"/>
        <v>0.67901234567901236</v>
      </c>
      <c r="Q113" s="6"/>
    </row>
    <row r="114" spans="1:17" ht="11.25" customHeight="1" outlineLevel="1" x14ac:dyDescent="0.4">
      <c r="A114" s="17"/>
      <c r="B114" s="17" t="s">
        <v>311</v>
      </c>
      <c r="C114" s="17"/>
      <c r="D114" s="32"/>
      <c r="E114" s="6"/>
      <c r="F114" s="6"/>
      <c r="G114" s="6"/>
      <c r="H114" s="6"/>
      <c r="I114" s="6"/>
      <c r="J114" s="6"/>
      <c r="K114" s="6"/>
      <c r="L114" s="6"/>
      <c r="M114" s="31"/>
      <c r="N114" s="32"/>
      <c r="O114" s="6"/>
      <c r="P114" s="59"/>
      <c r="Q114" s="6"/>
    </row>
    <row r="115" spans="1:17" ht="11.25" customHeight="1" outlineLevel="1" x14ac:dyDescent="0.4">
      <c r="A115" s="17"/>
      <c r="B115" s="17" t="s">
        <v>312</v>
      </c>
      <c r="C115" s="17"/>
      <c r="D115" s="32"/>
      <c r="E115" s="6"/>
      <c r="F115" s="6"/>
      <c r="G115" s="6"/>
      <c r="H115" s="6"/>
      <c r="I115" s="6"/>
      <c r="J115" s="6"/>
      <c r="K115" s="6"/>
      <c r="L115" s="6"/>
      <c r="M115" s="31"/>
      <c r="N115" s="32"/>
      <c r="O115" s="6"/>
      <c r="P115" s="59"/>
      <c r="Q115" s="6"/>
    </row>
    <row r="116" spans="1:17" ht="11.25" customHeight="1" outlineLevel="1" x14ac:dyDescent="0.4">
      <c r="A116" s="17"/>
      <c r="B116" s="17" t="s">
        <v>313</v>
      </c>
      <c r="C116" s="17"/>
      <c r="D116" s="32"/>
      <c r="E116" s="6"/>
      <c r="F116" s="6"/>
      <c r="G116" s="6"/>
      <c r="H116" s="6"/>
      <c r="I116" s="6"/>
      <c r="J116" s="6"/>
      <c r="K116" s="6"/>
      <c r="L116" s="6"/>
      <c r="M116" s="31"/>
      <c r="N116" s="32"/>
      <c r="O116" s="6"/>
      <c r="P116" s="59"/>
      <c r="Q116" s="6"/>
    </row>
    <row r="117" spans="1:17" ht="11.25" customHeight="1" x14ac:dyDescent="0.4">
      <c r="A117" s="442"/>
      <c r="B117" s="443" t="s">
        <v>314</v>
      </c>
      <c r="C117" s="443">
        <f>SUM(C107:C113)</f>
        <v>1235</v>
      </c>
      <c r="D117" s="444">
        <f t="shared" ref="D117:M117" si="54">SUM(D107:D116)</f>
        <v>698</v>
      </c>
      <c r="E117" s="445">
        <f t="shared" si="54"/>
        <v>502</v>
      </c>
      <c r="F117" s="445">
        <f t="shared" si="54"/>
        <v>397</v>
      </c>
      <c r="G117" s="445">
        <f t="shared" si="54"/>
        <v>382</v>
      </c>
      <c r="H117" s="445">
        <f t="shared" si="54"/>
        <v>450</v>
      </c>
      <c r="I117" s="445">
        <f t="shared" si="54"/>
        <v>391</v>
      </c>
      <c r="J117" s="445">
        <f t="shared" si="54"/>
        <v>361</v>
      </c>
      <c r="K117" s="445">
        <f t="shared" si="54"/>
        <v>393</v>
      </c>
      <c r="L117" s="445">
        <f t="shared" si="54"/>
        <v>517</v>
      </c>
      <c r="M117" s="446">
        <f t="shared" si="54"/>
        <v>481</v>
      </c>
      <c r="N117" s="444">
        <f>MIN(D117:M117)</f>
        <v>361</v>
      </c>
      <c r="O117" s="445">
        <v>985</v>
      </c>
      <c r="P117" s="447">
        <v>0.78486055776892427</v>
      </c>
      <c r="Q117" s="6"/>
    </row>
    <row r="118" spans="1:17" ht="11.25" customHeight="1" outlineLevel="1" x14ac:dyDescent="0.4">
      <c r="A118" s="17" t="s">
        <v>548</v>
      </c>
      <c r="B118" s="17" t="s">
        <v>300</v>
      </c>
      <c r="C118" s="17"/>
      <c r="D118" s="32"/>
      <c r="E118" s="6"/>
      <c r="F118" s="6"/>
      <c r="G118" s="6"/>
      <c r="H118" s="6"/>
      <c r="I118" s="6"/>
      <c r="J118" s="6"/>
      <c r="K118" s="6"/>
      <c r="L118" s="6"/>
      <c r="M118" s="31"/>
      <c r="N118" s="32"/>
      <c r="O118" s="6"/>
      <c r="P118" s="59"/>
      <c r="Q118" s="6"/>
    </row>
    <row r="119" spans="1:17" ht="11.25" customHeight="1" outlineLevel="1" x14ac:dyDescent="0.4">
      <c r="A119" s="17" t="s">
        <v>549</v>
      </c>
      <c r="B119" s="17" t="s">
        <v>301</v>
      </c>
      <c r="C119" s="32">
        <f>SUM('By Lot - East Campus'!E553+'By Lot - East Campus'!E570+'By Lot - East Campus'!E587)</f>
        <v>458</v>
      </c>
      <c r="D119" s="32">
        <f>SUM('By Lot - East Campus'!F553+'By Lot - East Campus'!F570+'By Lot - East Campus'!F587)</f>
        <v>68</v>
      </c>
      <c r="E119" s="6">
        <f>SUM('By Lot - East Campus'!G553+'By Lot - East Campus'!G570+'By Lot - East Campus'!G587)</f>
        <v>69</v>
      </c>
      <c r="F119" s="6">
        <f>SUM('By Lot - East Campus'!H553+'By Lot - East Campus'!H570+'By Lot - East Campus'!H587)</f>
        <v>43</v>
      </c>
      <c r="G119" s="6">
        <f>SUM('By Lot - East Campus'!I553+'By Lot - East Campus'!I570+'By Lot - East Campus'!I587)</f>
        <v>37</v>
      </c>
      <c r="H119" s="6">
        <f>SUM('By Lot - East Campus'!J553+'By Lot - East Campus'!J570+'By Lot - East Campus'!J587)</f>
        <v>35</v>
      </c>
      <c r="I119" s="6">
        <f>SUM('By Lot - East Campus'!K553+'By Lot - East Campus'!K570+'By Lot - East Campus'!K587)</f>
        <v>27</v>
      </c>
      <c r="J119" s="6">
        <f>SUM('By Lot - East Campus'!L553+'By Lot - East Campus'!L570+'By Lot - East Campus'!L587)</f>
        <v>29</v>
      </c>
      <c r="K119" s="6">
        <f>SUM('By Lot - East Campus'!M553+'By Lot - East Campus'!M570+'By Lot - East Campus'!M587)</f>
        <v>52</v>
      </c>
      <c r="L119" s="6">
        <f>SUM('By Lot - East Campus'!N553+'By Lot - East Campus'!N570+'By Lot - East Campus'!N587)</f>
        <v>129</v>
      </c>
      <c r="M119" s="31">
        <f>SUM('By Lot - East Campus'!O553+'By Lot - East Campus'!O570+'By Lot - East Campus'!O587)</f>
        <v>217</v>
      </c>
      <c r="N119" s="6">
        <f>MIN(D119,F119, H119, J119)</f>
        <v>29</v>
      </c>
      <c r="O119" s="6">
        <f>C119-N119</f>
        <v>429</v>
      </c>
      <c r="P119" s="59">
        <f>O119/C119</f>
        <v>0.9366812227074236</v>
      </c>
      <c r="Q119" s="6"/>
    </row>
    <row r="120" spans="1:17" ht="11.25" customHeight="1" outlineLevel="1" x14ac:dyDescent="0.4">
      <c r="A120" s="17"/>
      <c r="B120" s="17" t="s">
        <v>303</v>
      </c>
      <c r="C120" s="32"/>
      <c r="D120" s="32"/>
      <c r="E120" s="6"/>
      <c r="F120" s="6"/>
      <c r="G120" s="6"/>
      <c r="H120" s="6"/>
      <c r="I120" s="6"/>
      <c r="J120" s="6"/>
      <c r="K120" s="6"/>
      <c r="L120" s="6"/>
      <c r="M120" s="31"/>
      <c r="N120" s="6"/>
      <c r="O120" s="6"/>
      <c r="P120" s="59"/>
      <c r="Q120" s="6"/>
    </row>
    <row r="121" spans="1:17" ht="11.25" customHeight="1" outlineLevel="1" x14ac:dyDescent="0.4">
      <c r="A121" s="449" t="s">
        <v>550</v>
      </c>
      <c r="B121" s="17" t="s">
        <v>307</v>
      </c>
      <c r="C121" s="32"/>
      <c r="D121" s="32"/>
      <c r="E121" s="6"/>
      <c r="F121" s="6"/>
      <c r="G121" s="6"/>
      <c r="H121" s="6"/>
      <c r="I121" s="6"/>
      <c r="J121" s="6"/>
      <c r="K121" s="6"/>
      <c r="L121" s="6"/>
      <c r="M121" s="31"/>
      <c r="N121" s="6"/>
      <c r="O121" s="6"/>
      <c r="P121" s="59"/>
      <c r="Q121" s="6"/>
    </row>
    <row r="122" spans="1:17" ht="11.25" customHeight="1" outlineLevel="1" x14ac:dyDescent="0.4">
      <c r="A122" s="449" t="s">
        <v>551</v>
      </c>
      <c r="B122" s="17" t="s">
        <v>308</v>
      </c>
      <c r="C122" s="32"/>
      <c r="D122" s="32"/>
      <c r="E122" s="6"/>
      <c r="F122" s="6"/>
      <c r="G122" s="6"/>
      <c r="H122" s="6"/>
      <c r="I122" s="6"/>
      <c r="J122" s="6"/>
      <c r="K122" s="6"/>
      <c r="L122" s="6"/>
      <c r="M122" s="31"/>
      <c r="N122" s="6"/>
      <c r="O122" s="6"/>
      <c r="P122" s="59"/>
      <c r="Q122" s="6"/>
    </row>
    <row r="123" spans="1:17" ht="11.25" customHeight="1" outlineLevel="1" x14ac:dyDescent="0.4">
      <c r="A123" s="449" t="s">
        <v>552</v>
      </c>
      <c r="B123" s="17" t="s">
        <v>309</v>
      </c>
      <c r="C123" s="32">
        <f>SUM('By Lot - East Campus'!E558+'By Lot - East Campus'!E559+'By Lot - East Campus'!E560+'By Lot - East Campus'!E575+'By Lot - East Campus'!E576+'By Lot - East Campus'!E592)</f>
        <v>47</v>
      </c>
      <c r="D123" s="32">
        <f>SUM('By Lot - East Campus'!F558+'By Lot - East Campus'!F559+'By Lot - East Campus'!F560+'By Lot - East Campus'!F575+'By Lot - East Campus'!F592)</f>
        <v>29</v>
      </c>
      <c r="E123" s="6">
        <f>SUM('By Lot - East Campus'!G558+'By Lot - East Campus'!G559+'By Lot - East Campus'!G560+'By Lot - East Campus'!G575+'By Lot - East Campus'!G592)</f>
        <v>28</v>
      </c>
      <c r="F123" s="6">
        <f>SUM('By Lot - East Campus'!H558+'By Lot - East Campus'!H559+'By Lot - East Campus'!H560+'By Lot - East Campus'!H575+'By Lot - East Campus'!H592)</f>
        <v>26</v>
      </c>
      <c r="G123" s="6">
        <f>SUM('By Lot - East Campus'!I558+'By Lot - East Campus'!I559+'By Lot - East Campus'!I560+'By Lot - East Campus'!I575+'By Lot - East Campus'!I592)</f>
        <v>27</v>
      </c>
      <c r="H123" s="6">
        <f>SUM('By Lot - East Campus'!J558+'By Lot - East Campus'!J559+'By Lot - East Campus'!J560+'By Lot - East Campus'!J575+'By Lot - East Campus'!J592)</f>
        <v>20</v>
      </c>
      <c r="I123" s="58">
        <f>SUM('By Lot - East Campus'!K558+'By Lot - East Campus'!K559+'By Lot - East Campus'!K560+'By Lot - East Campus'!K575+'By Lot - East Campus'!K592)</f>
        <v>17</v>
      </c>
      <c r="J123" s="58">
        <f>SUM('By Lot - East Campus'!L558+'By Lot - East Campus'!L559+'By Lot - East Campus'!L560+'By Lot - East Campus'!L575+'By Lot - East Campus'!L592)</f>
        <v>19</v>
      </c>
      <c r="K123" s="58">
        <f>SUM('By Lot - East Campus'!M558+'By Lot - East Campus'!M559+'By Lot - East Campus'!M560+'By Lot - East Campus'!M575+'By Lot - East Campus'!M592)</f>
        <v>19</v>
      </c>
      <c r="L123" s="58">
        <f>SUM('By Lot - East Campus'!N558+'By Lot - East Campus'!N559+'By Lot - East Campus'!N560+'By Lot - East Campus'!N575+'By Lot - East Campus'!N592)</f>
        <v>21</v>
      </c>
      <c r="M123" s="60">
        <f>SUM('By Lot - East Campus'!O558+'By Lot - East Campus'!O559+'By Lot - East Campus'!O560+'By Lot - East Campus'!O575+'By Lot - East Campus'!O592)</f>
        <v>24</v>
      </c>
      <c r="N123" s="6">
        <f t="shared" ref="N123:N124" si="55">MIN(D123,F123, H123, J123)</f>
        <v>19</v>
      </c>
      <c r="O123" s="6">
        <f t="shared" ref="O123:O124" si="56">C123-N123</f>
        <v>28</v>
      </c>
      <c r="P123" s="59">
        <f t="shared" ref="P123:P124" si="57">O123/C123</f>
        <v>0.5957446808510638</v>
      </c>
      <c r="Q123" s="6"/>
    </row>
    <row r="124" spans="1:17" ht="11.25" customHeight="1" outlineLevel="1" x14ac:dyDescent="0.4">
      <c r="A124" s="449" t="s">
        <v>553</v>
      </c>
      <c r="B124" s="17" t="s">
        <v>310</v>
      </c>
      <c r="C124" s="32">
        <f>SUM('By Lot - East Campus'!E564,'By Lot - East Campus'!E581,'By Lot - East Campus'!E598)</f>
        <v>19</v>
      </c>
      <c r="D124" s="32">
        <f>SUM('By Lot - East Campus'!F564,'By Lot - East Campus'!F581,'By Lot - East Campus'!F598)</f>
        <v>19</v>
      </c>
      <c r="E124" s="6">
        <f>SUM('By Lot - East Campus'!G564,'By Lot - East Campus'!G581,'By Lot - East Campus'!G598)</f>
        <v>18</v>
      </c>
      <c r="F124" s="6">
        <f>SUM('By Lot - East Campus'!H564,'By Lot - East Campus'!H581,'By Lot - East Campus'!H598)</f>
        <v>18</v>
      </c>
      <c r="G124" s="6">
        <f>SUM('By Lot - East Campus'!I564,'By Lot - East Campus'!I581,'By Lot - East Campus'!I598)</f>
        <v>19</v>
      </c>
      <c r="H124" s="6">
        <f>SUM('By Lot - East Campus'!J564,'By Lot - East Campus'!J581,'By Lot - East Campus'!J598)</f>
        <v>19</v>
      </c>
      <c r="I124" s="6">
        <f>SUM('By Lot - East Campus'!K564,'By Lot - East Campus'!K581,'By Lot - East Campus'!K598)</f>
        <v>19</v>
      </c>
      <c r="J124" s="6">
        <f>SUM('By Lot - East Campus'!L564,'By Lot - East Campus'!L581,'By Lot - East Campus'!L598)</f>
        <v>17</v>
      </c>
      <c r="K124" s="6">
        <f>SUM('By Lot - East Campus'!M564,'By Lot - East Campus'!M581,'By Lot - East Campus'!M598)</f>
        <v>18</v>
      </c>
      <c r="L124" s="6">
        <f>SUM('By Lot - East Campus'!N564,'By Lot - East Campus'!N581,'By Lot - East Campus'!N598)</f>
        <v>19</v>
      </c>
      <c r="M124" s="31">
        <f>SUM('By Lot - East Campus'!O564,'By Lot - East Campus'!O581,'By Lot - East Campus'!O598)</f>
        <v>19</v>
      </c>
      <c r="N124" s="6">
        <f t="shared" si="55"/>
        <v>17</v>
      </c>
      <c r="O124" s="6">
        <f t="shared" si="56"/>
        <v>2</v>
      </c>
      <c r="P124" s="59">
        <f t="shared" si="57"/>
        <v>0.10526315789473684</v>
      </c>
      <c r="Q124" s="6"/>
    </row>
    <row r="125" spans="1:17" ht="11.25" customHeight="1" outlineLevel="1" x14ac:dyDescent="0.4">
      <c r="A125" s="17"/>
      <c r="B125" s="17" t="s">
        <v>311</v>
      </c>
      <c r="C125" s="17"/>
      <c r="D125" s="32"/>
      <c r="E125" s="6"/>
      <c r="F125" s="6"/>
      <c r="G125" s="6"/>
      <c r="H125" s="6"/>
      <c r="I125" s="6"/>
      <c r="J125" s="6"/>
      <c r="K125" s="6"/>
      <c r="L125" s="6"/>
      <c r="M125" s="31"/>
      <c r="N125" s="32"/>
      <c r="O125" s="6"/>
      <c r="P125" s="59"/>
      <c r="Q125" s="6"/>
    </row>
    <row r="126" spans="1:17" ht="11.25" customHeight="1" outlineLevel="1" x14ac:dyDescent="0.4">
      <c r="A126" s="17"/>
      <c r="B126" s="17" t="s">
        <v>312</v>
      </c>
      <c r="C126" s="17"/>
      <c r="D126" s="32"/>
      <c r="E126" s="6"/>
      <c r="F126" s="6"/>
      <c r="G126" s="6"/>
      <c r="H126" s="6"/>
      <c r="I126" s="6"/>
      <c r="J126" s="6"/>
      <c r="K126" s="6"/>
      <c r="L126" s="6"/>
      <c r="M126" s="31"/>
      <c r="N126" s="32"/>
      <c r="O126" s="6"/>
      <c r="P126" s="59"/>
      <c r="Q126" s="6"/>
    </row>
    <row r="127" spans="1:17" ht="11.25" customHeight="1" outlineLevel="1" x14ac:dyDescent="0.4">
      <c r="A127" s="17"/>
      <c r="B127" s="17" t="s">
        <v>313</v>
      </c>
      <c r="C127" s="17"/>
      <c r="D127" s="32"/>
      <c r="E127" s="6"/>
      <c r="F127" s="6"/>
      <c r="G127" s="6"/>
      <c r="H127" s="6"/>
      <c r="I127" s="6"/>
      <c r="J127" s="6"/>
      <c r="K127" s="6"/>
      <c r="L127" s="6"/>
      <c r="M127" s="31"/>
      <c r="N127" s="32"/>
      <c r="O127" s="6"/>
      <c r="P127" s="59"/>
      <c r="Q127" s="6"/>
    </row>
    <row r="128" spans="1:17" ht="11.25" customHeight="1" x14ac:dyDescent="0.4">
      <c r="A128" s="442"/>
      <c r="B128" s="443" t="s">
        <v>314</v>
      </c>
      <c r="C128" s="444">
        <f t="shared" ref="C128:M128" si="58">SUM(C118:C127)</f>
        <v>524</v>
      </c>
      <c r="D128" s="101">
        <f t="shared" si="58"/>
        <v>116</v>
      </c>
      <c r="E128" s="102">
        <f t="shared" si="58"/>
        <v>115</v>
      </c>
      <c r="F128" s="102">
        <f t="shared" si="58"/>
        <v>87</v>
      </c>
      <c r="G128" s="102">
        <f t="shared" si="58"/>
        <v>83</v>
      </c>
      <c r="H128" s="102">
        <f t="shared" si="58"/>
        <v>74</v>
      </c>
      <c r="I128" s="102">
        <f t="shared" si="58"/>
        <v>63</v>
      </c>
      <c r="J128" s="102">
        <f t="shared" si="58"/>
        <v>65</v>
      </c>
      <c r="K128" s="102">
        <f t="shared" si="58"/>
        <v>89</v>
      </c>
      <c r="L128" s="102">
        <f t="shared" si="58"/>
        <v>169</v>
      </c>
      <c r="M128" s="103">
        <f t="shared" si="58"/>
        <v>260</v>
      </c>
      <c r="N128" s="445">
        <f>MIN(D128,F128, H128, J128)</f>
        <v>65</v>
      </c>
      <c r="O128" s="445">
        <f t="shared" ref="O128:O129" si="59">C128-N128</f>
        <v>459</v>
      </c>
      <c r="P128" s="447">
        <f t="shared" ref="P128:P129" si="60">O128/C128</f>
        <v>0.87595419847328249</v>
      </c>
      <c r="Q128" s="6"/>
    </row>
    <row r="129" spans="1:17" ht="11.25" customHeight="1" outlineLevel="1" x14ac:dyDescent="0.4">
      <c r="A129" s="17" t="s">
        <v>247</v>
      </c>
      <c r="B129" s="17" t="s">
        <v>300</v>
      </c>
      <c r="C129" s="54">
        <f>SUM('By Lot - Hillcrest'!E8,'By Lot - Hillcrest'!E25,'By Lot - Hillcrest'!E42,'By Lot - Hillcrest'!E59,'By Lot - Hillcrest'!E76,'By Lot - Hillcrest'!E93,'By Lot - Hillcrest'!E110,'By Lot - Hillcrest'!E127,'By Lot - Hillcrest'!E144,'By Lot - Hillcrest'!E161,'By Lot - Hillcrest'!E178,'By Lot - Hillcrest'!E195,'By Lot - Hillcrest'!E212,'By Lot - Hillcrest'!E229)</f>
        <v>226</v>
      </c>
      <c r="D129" s="55">
        <f>SUM('By Lot - Hillcrest'!F8,'By Lot - Hillcrest'!F25,'By Lot - Hillcrest'!F42,'By Lot - Hillcrest'!F59,'By Lot - Hillcrest'!F76,'By Lot - Hillcrest'!F93,'By Lot - Hillcrest'!F110,'By Lot - Hillcrest'!F127,'By Lot - Hillcrest'!F144,'By Lot - Hillcrest'!F161,'By Lot - Hillcrest'!F178,'By Lot - Hillcrest'!F195,'By Lot - Hillcrest'!F212,'By Lot - Hillcrest'!F229)</f>
        <v>115</v>
      </c>
      <c r="E129" s="56">
        <f>SUM('By Lot - Hillcrest'!G8,'By Lot - Hillcrest'!G25,'By Lot - Hillcrest'!G42,'By Lot - Hillcrest'!G59,'By Lot - Hillcrest'!G76,'By Lot - Hillcrest'!G93,'By Lot - Hillcrest'!G110,'By Lot - Hillcrest'!G127,'By Lot - Hillcrest'!G144,'By Lot - Hillcrest'!G161,'By Lot - Hillcrest'!G178,'By Lot - Hillcrest'!G195,'By Lot - Hillcrest'!G212,'By Lot - Hillcrest'!G229)</f>
        <v>55</v>
      </c>
      <c r="F129" s="56">
        <f>SUM('By Lot - Hillcrest'!H8,'By Lot - Hillcrest'!H25,'By Lot - Hillcrest'!H42,'By Lot - Hillcrest'!H59,'By Lot - Hillcrest'!H76,'By Lot - Hillcrest'!H93,'By Lot - Hillcrest'!H110,'By Lot - Hillcrest'!H127,'By Lot - Hillcrest'!H144,'By Lot - Hillcrest'!H161,'By Lot - Hillcrest'!H178,'By Lot - Hillcrest'!H195,'By Lot - Hillcrest'!H212,'By Lot - Hillcrest'!H229)</f>
        <v>38</v>
      </c>
      <c r="G129" s="56">
        <f>SUM('By Lot - Hillcrest'!I8,'By Lot - Hillcrest'!I25,'By Lot - Hillcrest'!I42,'By Lot - Hillcrest'!I59,'By Lot - Hillcrest'!I76,'By Lot - Hillcrest'!I93,'By Lot - Hillcrest'!I110,'By Lot - Hillcrest'!I127,'By Lot - Hillcrest'!I144,'By Lot - Hillcrest'!I161,'By Lot - Hillcrest'!I178,'By Lot - Hillcrest'!I195,'By Lot - Hillcrest'!I212,'By Lot - Hillcrest'!I229)</f>
        <v>34</v>
      </c>
      <c r="H129" s="56">
        <f>SUM('By Lot - Hillcrest'!J8,'By Lot - Hillcrest'!J25,'By Lot - Hillcrest'!J42,'By Lot - Hillcrest'!J59,'By Lot - Hillcrest'!J76,'By Lot - Hillcrest'!J93,'By Lot - Hillcrest'!J110,'By Lot - Hillcrest'!J127,'By Lot - Hillcrest'!J144,'By Lot - Hillcrest'!J161,'By Lot - Hillcrest'!J178,'By Lot - Hillcrest'!J195,'By Lot - Hillcrest'!J212,'By Lot - Hillcrest'!J229)</f>
        <v>38</v>
      </c>
      <c r="I129" s="56">
        <f>SUM('By Lot - Hillcrest'!K8,'By Lot - Hillcrest'!K25,'By Lot - Hillcrest'!K42,'By Lot - Hillcrest'!K59,'By Lot - Hillcrest'!K76,'By Lot - Hillcrest'!K93,'By Lot - Hillcrest'!K110,'By Lot - Hillcrest'!K127,'By Lot - Hillcrest'!K144,'By Lot - Hillcrest'!K161,'By Lot - Hillcrest'!K178,'By Lot - Hillcrest'!K195,'By Lot - Hillcrest'!K212,'By Lot - Hillcrest'!K229)</f>
        <v>25</v>
      </c>
      <c r="J129" s="56">
        <f>SUM('By Lot - Hillcrest'!L8,'By Lot - Hillcrest'!L25,'By Lot - Hillcrest'!L42,'By Lot - Hillcrest'!L59,'By Lot - Hillcrest'!L76,'By Lot - Hillcrest'!L93,'By Lot - Hillcrest'!L110,'By Lot - Hillcrest'!L127,'By Lot - Hillcrest'!L144,'By Lot - Hillcrest'!L161,'By Lot - Hillcrest'!L178,'By Lot - Hillcrest'!L195,'By Lot - Hillcrest'!L212,'By Lot - Hillcrest'!L229)</f>
        <v>31</v>
      </c>
      <c r="K129" s="56">
        <f>SUM('By Lot - Hillcrest'!M8,'By Lot - Hillcrest'!M25,'By Lot - Hillcrest'!M42,'By Lot - Hillcrest'!M59,'By Lot - Hillcrest'!M76,'By Lot - Hillcrest'!M93,'By Lot - Hillcrest'!M110,'By Lot - Hillcrest'!M127,'By Lot - Hillcrest'!M144,'By Lot - Hillcrest'!M161,'By Lot - Hillcrest'!M178,'By Lot - Hillcrest'!M195,'By Lot - Hillcrest'!M212,'By Lot - Hillcrest'!M229)</f>
        <v>45</v>
      </c>
      <c r="L129" s="56">
        <f>SUM('By Lot - Hillcrest'!N8,'By Lot - Hillcrest'!N25,'By Lot - Hillcrest'!N42,'By Lot - Hillcrest'!N59,'By Lot - Hillcrest'!N76,'By Lot - Hillcrest'!N93,'By Lot - Hillcrest'!N110,'By Lot - Hillcrest'!N127,'By Lot - Hillcrest'!N144,'By Lot - Hillcrest'!N161,'By Lot - Hillcrest'!N178,'By Lot - Hillcrest'!N195,'By Lot - Hillcrest'!N212,'By Lot - Hillcrest'!N229)</f>
        <v>65</v>
      </c>
      <c r="M129" s="57">
        <f>SUM('By Lot - Hillcrest'!O8,'By Lot - Hillcrest'!O25,'By Lot - Hillcrest'!O42,'By Lot - Hillcrest'!O59,'By Lot - Hillcrest'!O76,'By Lot - Hillcrest'!O93,'By Lot - Hillcrest'!O110,'By Lot - Hillcrest'!O127,'By Lot - Hillcrest'!O144,'By Lot - Hillcrest'!O161,'By Lot - Hillcrest'!O178,'By Lot - Hillcrest'!O195,'By Lot - Hillcrest'!O212,'By Lot - Hillcrest'!O229)</f>
        <v>111</v>
      </c>
      <c r="N129" s="58">
        <f>MIN(D129:M129)</f>
        <v>25</v>
      </c>
      <c r="O129" s="58">
        <f t="shared" si="59"/>
        <v>201</v>
      </c>
      <c r="P129" s="59">
        <f t="shared" si="60"/>
        <v>0.88938053097345138</v>
      </c>
      <c r="Q129" s="6"/>
    </row>
    <row r="130" spans="1:17" ht="11.25" customHeight="1" outlineLevel="1" x14ac:dyDescent="0.4">
      <c r="A130" s="17" t="s">
        <v>256</v>
      </c>
      <c r="B130" s="17" t="s">
        <v>301</v>
      </c>
      <c r="C130" s="54"/>
      <c r="D130" s="32"/>
      <c r="E130" s="6"/>
      <c r="F130" s="6"/>
      <c r="G130" s="6"/>
      <c r="H130" s="6"/>
      <c r="I130" s="6"/>
      <c r="J130" s="6"/>
      <c r="K130" s="6"/>
      <c r="L130" s="6"/>
      <c r="M130" s="31"/>
      <c r="N130" s="32"/>
      <c r="O130" s="6"/>
      <c r="P130" s="59"/>
      <c r="Q130" s="6"/>
    </row>
    <row r="131" spans="1:17" ht="11.25" customHeight="1" outlineLevel="1" x14ac:dyDescent="0.4">
      <c r="A131" s="17"/>
      <c r="B131" s="17" t="s">
        <v>303</v>
      </c>
      <c r="C131" s="54"/>
      <c r="D131" s="32"/>
      <c r="E131" s="6"/>
      <c r="F131" s="6"/>
      <c r="G131" s="6"/>
      <c r="H131" s="6"/>
      <c r="I131" s="6"/>
      <c r="J131" s="6"/>
      <c r="K131" s="6"/>
      <c r="L131" s="6"/>
      <c r="M131" s="31"/>
      <c r="N131" s="32"/>
      <c r="O131" s="6"/>
      <c r="P131" s="59"/>
      <c r="Q131" s="6"/>
    </row>
    <row r="132" spans="1:17" ht="11.25" customHeight="1" outlineLevel="1" x14ac:dyDescent="0.4">
      <c r="A132" s="17"/>
      <c r="B132" s="17" t="s">
        <v>307</v>
      </c>
      <c r="C132" s="54">
        <f>SUM('By Lot - Hillcrest'!E11:E12,'By Lot - Hillcrest'!E28:E29,'By Lot - Hillcrest'!E45:E46,'By Lot - Hillcrest'!E62:E63,'By Lot - Hillcrest'!E79:E80,'By Lot - Hillcrest'!E96:E97,'By Lot - Hillcrest'!E113:E114,'By Lot - Hillcrest'!E130:E131,'By Lot - Hillcrest'!E147:E148,'By Lot - Hillcrest'!E164:E165,'By Lot - Hillcrest'!E181:E182,'By Lot - Hillcrest'!E198:E199,'By Lot - Hillcrest'!E215:E216,'By Lot - Hillcrest'!E232:E233)</f>
        <v>241</v>
      </c>
      <c r="D132" s="54">
        <f>SUM('By Lot - Hillcrest'!F11:F12,'By Lot - Hillcrest'!F28:F29,'By Lot - Hillcrest'!F45:F46,'By Lot - Hillcrest'!F62:F63,'By Lot - Hillcrest'!F79:F80,'By Lot - Hillcrest'!F96:F97,'By Lot - Hillcrest'!F113:F114,'By Lot - Hillcrest'!F130:F131,'By Lot - Hillcrest'!F147:F148,'By Lot - Hillcrest'!F164:F165,'By Lot - Hillcrest'!F181:F182,'By Lot - Hillcrest'!F198:F199,'By Lot - Hillcrest'!F215:F216,'By Lot - Hillcrest'!F232:F233)</f>
        <v>97</v>
      </c>
      <c r="E132" s="58">
        <f>SUM('By Lot - Hillcrest'!G11:G12,'By Lot - Hillcrest'!G28:G29,'By Lot - Hillcrest'!G45:G46,'By Lot - Hillcrest'!G62:G63,'By Lot - Hillcrest'!G79:G80,'By Lot - Hillcrest'!G96:G97,'By Lot - Hillcrest'!G113:G114,'By Lot - Hillcrest'!G130:G131,'By Lot - Hillcrest'!G147:G148,'By Lot - Hillcrest'!G164:G165,'By Lot - Hillcrest'!G181:G182,'By Lot - Hillcrest'!G198:G199,'By Lot - Hillcrest'!G215:G216,'By Lot - Hillcrest'!G232:G233)</f>
        <v>50</v>
      </c>
      <c r="F132" s="58">
        <f>SUM('By Lot - Hillcrest'!H11:H12,'By Lot - Hillcrest'!H28:H29,'By Lot - Hillcrest'!H45:H46,'By Lot - Hillcrest'!H62:H63,'By Lot - Hillcrest'!H79:H80,'By Lot - Hillcrest'!H96:H97,'By Lot - Hillcrest'!H113:H114,'By Lot - Hillcrest'!H130:H131,'By Lot - Hillcrest'!H147:H148,'By Lot - Hillcrest'!H164:H165,'By Lot - Hillcrest'!H181:H182,'By Lot - Hillcrest'!H198:H199,'By Lot - Hillcrest'!H215:H216,'By Lot - Hillcrest'!H232:H233)</f>
        <v>32</v>
      </c>
      <c r="G132" s="58">
        <f>SUM('By Lot - Hillcrest'!I11:I12,'By Lot - Hillcrest'!I28:I29,'By Lot - Hillcrest'!I45:I46,'By Lot - Hillcrest'!I62:I63,'By Lot - Hillcrest'!I79:I80,'By Lot - Hillcrest'!I96:I97,'By Lot - Hillcrest'!I113:I114,'By Lot - Hillcrest'!I130:I131,'By Lot - Hillcrest'!I147:I148,'By Lot - Hillcrest'!I164:I165,'By Lot - Hillcrest'!I181:I182,'By Lot - Hillcrest'!I198:I199,'By Lot - Hillcrest'!I215:I216,'By Lot - Hillcrest'!I232:I233)</f>
        <v>26</v>
      </c>
      <c r="H132" s="58">
        <f>SUM('By Lot - Hillcrest'!J11:J12,'By Lot - Hillcrest'!J28:J29,'By Lot - Hillcrest'!J45:J46,'By Lot - Hillcrest'!J62:J63,'By Lot - Hillcrest'!J79:J80,'By Lot - Hillcrest'!J96:J97,'By Lot - Hillcrest'!J113:J114,'By Lot - Hillcrest'!J130:J131,'By Lot - Hillcrest'!J147:J148,'By Lot - Hillcrest'!J164:J165,'By Lot - Hillcrest'!J181:J182,'By Lot - Hillcrest'!J198:J199,'By Lot - Hillcrest'!J215:J216,'By Lot - Hillcrest'!J232:J233)</f>
        <v>38</v>
      </c>
      <c r="I132" s="58">
        <f>SUM('By Lot - Hillcrest'!K11:K12,'By Lot - Hillcrest'!K28:K29,'By Lot - Hillcrest'!K45:K46,'By Lot - Hillcrest'!K62:K63,'By Lot - Hillcrest'!K79:K80,'By Lot - Hillcrest'!K96:K97,'By Lot - Hillcrest'!K113:K114,'By Lot - Hillcrest'!K130:K131,'By Lot - Hillcrest'!K147:K148,'By Lot - Hillcrest'!K164:K165,'By Lot - Hillcrest'!K181:K182,'By Lot - Hillcrest'!K198:K199,'By Lot - Hillcrest'!K215:K216,'By Lot - Hillcrest'!K232:K233)</f>
        <v>42</v>
      </c>
      <c r="J132" s="58">
        <f>SUM('By Lot - Hillcrest'!L11:L12,'By Lot - Hillcrest'!L28:L29,'By Lot - Hillcrest'!L45:L46,'By Lot - Hillcrest'!L62:L63,'By Lot - Hillcrest'!L79:L80,'By Lot - Hillcrest'!L96:L97,'By Lot - Hillcrest'!L113:L114,'By Lot - Hillcrest'!L130:L131,'By Lot - Hillcrest'!L147:L148,'By Lot - Hillcrest'!L164:L165,'By Lot - Hillcrest'!L181:L182,'By Lot - Hillcrest'!L198:L199,'By Lot - Hillcrest'!L215:L216,'By Lot - Hillcrest'!L232:L233)</f>
        <v>43</v>
      </c>
      <c r="K132" s="58">
        <f>SUM('By Lot - Hillcrest'!M11:M12,'By Lot - Hillcrest'!M28:M29,'By Lot - Hillcrest'!M45:M46,'By Lot - Hillcrest'!M62:M63,'By Lot - Hillcrest'!M79:M80,'By Lot - Hillcrest'!M96:M97,'By Lot - Hillcrest'!M113:M114,'By Lot - Hillcrest'!M130:M131,'By Lot - Hillcrest'!M147:M148,'By Lot - Hillcrest'!M164:M165,'By Lot - Hillcrest'!M181:M182,'By Lot - Hillcrest'!M198:M199,'By Lot - Hillcrest'!M215:M216,'By Lot - Hillcrest'!M232:M233)</f>
        <v>53</v>
      </c>
      <c r="L132" s="58">
        <f>SUM('By Lot - Hillcrest'!N11:N12,'By Lot - Hillcrest'!N28:N29,'By Lot - Hillcrest'!N45:N46,'By Lot - Hillcrest'!N62:N63,'By Lot - Hillcrest'!N79:N80,'By Lot - Hillcrest'!N96:N97,'By Lot - Hillcrest'!N113:N114,'By Lot - Hillcrest'!N130:N131,'By Lot - Hillcrest'!N147:N148,'By Lot - Hillcrest'!N164:N165,'By Lot - Hillcrest'!N181:N182,'By Lot - Hillcrest'!N198:N199,'By Lot - Hillcrest'!N215:N216,'By Lot - Hillcrest'!N232:N233)</f>
        <v>78</v>
      </c>
      <c r="M132" s="60">
        <f>SUM('By Lot - Hillcrest'!O11:O12,'By Lot - Hillcrest'!O28:O29,'By Lot - Hillcrest'!O45:O46,'By Lot - Hillcrest'!O62:O63,'By Lot - Hillcrest'!O79:O80,'By Lot - Hillcrest'!O96:O97,'By Lot - Hillcrest'!O113:O114,'By Lot - Hillcrest'!O130:O131,'By Lot - Hillcrest'!O147:O148,'By Lot - Hillcrest'!O164:O165,'By Lot - Hillcrest'!O181:O182,'By Lot - Hillcrest'!O198:O199,'By Lot - Hillcrest'!O215:O216,'By Lot - Hillcrest'!O232:O233)</f>
        <v>126</v>
      </c>
      <c r="N132" s="58">
        <f t="shared" ref="N132:N136" si="61">MIN(D132:M132)</f>
        <v>26</v>
      </c>
      <c r="O132" s="58">
        <f t="shared" ref="O132:O136" si="62">C132-N132</f>
        <v>215</v>
      </c>
      <c r="P132" s="59">
        <f t="shared" ref="P132:P136" si="63">O132/C132</f>
        <v>0.89211618257261416</v>
      </c>
      <c r="Q132" s="6"/>
    </row>
    <row r="133" spans="1:17" ht="11.25" customHeight="1" outlineLevel="1" x14ac:dyDescent="0.4">
      <c r="A133" s="17"/>
      <c r="B133" s="17" t="s">
        <v>308</v>
      </c>
      <c r="C133" s="54">
        <f>SUM('By Lot - Hillcrest'!E13,'By Lot - Hillcrest'!E30,'By Lot - Hillcrest'!E47,'By Lot - Hillcrest'!E64,'By Lot - Hillcrest'!E81,'By Lot - Hillcrest'!E98,'By Lot - Hillcrest'!E115,'By Lot - Hillcrest'!E132,'By Lot - Hillcrest'!E149,'By Lot - Hillcrest'!E166,'By Lot - Hillcrest'!E183,'By Lot - Hillcrest'!E200,'By Lot - Hillcrest'!E217,'By Lot - Hillcrest'!E234)</f>
        <v>19</v>
      </c>
      <c r="D133" s="54">
        <f>SUM('By Lot - Hillcrest'!F13,'By Lot - Hillcrest'!F30,'By Lot - Hillcrest'!F47,'By Lot - Hillcrest'!F64,'By Lot - Hillcrest'!F81,'By Lot - Hillcrest'!F98,'By Lot - Hillcrest'!F115,'By Lot - Hillcrest'!F132,'By Lot - Hillcrest'!F149,'By Lot - Hillcrest'!F166,'By Lot - Hillcrest'!F183,'By Lot - Hillcrest'!F200,'By Lot - Hillcrest'!F217,'By Lot - Hillcrest'!F234)</f>
        <v>18</v>
      </c>
      <c r="E133" s="58">
        <f>SUM('By Lot - Hillcrest'!G13,'By Lot - Hillcrest'!G30,'By Lot - Hillcrest'!G47,'By Lot - Hillcrest'!G64,'By Lot - Hillcrest'!G81,'By Lot - Hillcrest'!G98,'By Lot - Hillcrest'!G115,'By Lot - Hillcrest'!G132,'By Lot - Hillcrest'!G149,'By Lot - Hillcrest'!G166,'By Lot - Hillcrest'!G183,'By Lot - Hillcrest'!G200,'By Lot - Hillcrest'!G217,'By Lot - Hillcrest'!G234)</f>
        <v>17</v>
      </c>
      <c r="F133" s="58">
        <f>SUM('By Lot - Hillcrest'!H13,'By Lot - Hillcrest'!H30,'By Lot - Hillcrest'!H47,'By Lot - Hillcrest'!H64,'By Lot - Hillcrest'!H81,'By Lot - Hillcrest'!H98,'By Lot - Hillcrest'!H115,'By Lot - Hillcrest'!H132,'By Lot - Hillcrest'!H149,'By Lot - Hillcrest'!H166,'By Lot - Hillcrest'!H183,'By Lot - Hillcrest'!H200,'By Lot - Hillcrest'!H217,'By Lot - Hillcrest'!H234)</f>
        <v>16</v>
      </c>
      <c r="G133" s="58">
        <f>SUM('By Lot - Hillcrest'!I13,'By Lot - Hillcrest'!I30,'By Lot - Hillcrest'!I47,'By Lot - Hillcrest'!I64,'By Lot - Hillcrest'!I81,'By Lot - Hillcrest'!I98,'By Lot - Hillcrest'!I115,'By Lot - Hillcrest'!I132,'By Lot - Hillcrest'!I149,'By Lot - Hillcrest'!I166,'By Lot - Hillcrest'!I183,'By Lot - Hillcrest'!I200,'By Lot - Hillcrest'!I217,'By Lot - Hillcrest'!I234)</f>
        <v>16</v>
      </c>
      <c r="H133" s="58">
        <f>SUM('By Lot - Hillcrest'!J13,'By Lot - Hillcrest'!J30,'By Lot - Hillcrest'!J47,'By Lot - Hillcrest'!J64,'By Lot - Hillcrest'!J81,'By Lot - Hillcrest'!J98,'By Lot - Hillcrest'!J115,'By Lot - Hillcrest'!J132,'By Lot - Hillcrest'!J149,'By Lot - Hillcrest'!J166,'By Lot - Hillcrest'!J183,'By Lot - Hillcrest'!J200,'By Lot - Hillcrest'!J217,'By Lot - Hillcrest'!J234)</f>
        <v>16</v>
      </c>
      <c r="I133" s="58">
        <f>SUM('By Lot - Hillcrest'!K13,'By Lot - Hillcrest'!K30,'By Lot - Hillcrest'!K47,'By Lot - Hillcrest'!K64,'By Lot - Hillcrest'!K81,'By Lot - Hillcrest'!K98,'By Lot - Hillcrest'!K115,'By Lot - Hillcrest'!K132,'By Lot - Hillcrest'!K149,'By Lot - Hillcrest'!K166,'By Lot - Hillcrest'!K183,'By Lot - Hillcrest'!K200,'By Lot - Hillcrest'!K217,'By Lot - Hillcrest'!K234)</f>
        <v>15</v>
      </c>
      <c r="J133" s="58">
        <f>SUM('By Lot - Hillcrest'!L13,'By Lot - Hillcrest'!L30,'By Lot - Hillcrest'!L47,'By Lot - Hillcrest'!L64,'By Lot - Hillcrest'!L81,'By Lot - Hillcrest'!L98,'By Lot - Hillcrest'!L115,'By Lot - Hillcrest'!L132,'By Lot - Hillcrest'!L149,'By Lot - Hillcrest'!L166,'By Lot - Hillcrest'!L183,'By Lot - Hillcrest'!L200,'By Lot - Hillcrest'!L217,'By Lot - Hillcrest'!L234)</f>
        <v>15</v>
      </c>
      <c r="K133" s="58">
        <f>SUM('By Lot - Hillcrest'!M13,'By Lot - Hillcrest'!M30,'By Lot - Hillcrest'!M47,'By Lot - Hillcrest'!M64,'By Lot - Hillcrest'!M81,'By Lot - Hillcrest'!M98,'By Lot - Hillcrest'!M115,'By Lot - Hillcrest'!M132,'By Lot - Hillcrest'!M149,'By Lot - Hillcrest'!M166,'By Lot - Hillcrest'!M183,'By Lot - Hillcrest'!M200,'By Lot - Hillcrest'!M217,'By Lot - Hillcrest'!M234)</f>
        <v>16</v>
      </c>
      <c r="L133" s="58">
        <f>SUM('By Lot - Hillcrest'!N13,'By Lot - Hillcrest'!N30,'By Lot - Hillcrest'!N47,'By Lot - Hillcrest'!N64,'By Lot - Hillcrest'!N81,'By Lot - Hillcrest'!N98,'By Lot - Hillcrest'!N115,'By Lot - Hillcrest'!N132,'By Lot - Hillcrest'!N149,'By Lot - Hillcrest'!N166,'By Lot - Hillcrest'!N183,'By Lot - Hillcrest'!N200,'By Lot - Hillcrest'!N217,'By Lot - Hillcrest'!N234)</f>
        <v>17</v>
      </c>
      <c r="M133" s="60">
        <f>SUM('By Lot - Hillcrest'!O13,'By Lot - Hillcrest'!O30,'By Lot - Hillcrest'!O47,'By Lot - Hillcrest'!O64,'By Lot - Hillcrest'!O81,'By Lot - Hillcrest'!O98,'By Lot - Hillcrest'!O115,'By Lot - Hillcrest'!O132,'By Lot - Hillcrest'!O149,'By Lot - Hillcrest'!O166,'By Lot - Hillcrest'!O183,'By Lot - Hillcrest'!O200,'By Lot - Hillcrest'!O217,'By Lot - Hillcrest'!O234)</f>
        <v>17</v>
      </c>
      <c r="N133" s="58">
        <f t="shared" si="61"/>
        <v>15</v>
      </c>
      <c r="O133" s="58">
        <f t="shared" si="62"/>
        <v>4</v>
      </c>
      <c r="P133" s="59">
        <f t="shared" si="63"/>
        <v>0.21052631578947367</v>
      </c>
      <c r="Q133" s="6"/>
    </row>
    <row r="134" spans="1:17" ht="11.25" customHeight="1" outlineLevel="1" x14ac:dyDescent="0.4">
      <c r="A134" s="17"/>
      <c r="B134" s="17" t="s">
        <v>309</v>
      </c>
      <c r="C134" s="54">
        <f>SUM('By Lot - Hillcrest'!E14:E19,'By Lot - Hillcrest'!E31:E36,'By Lot - Hillcrest'!E48:E53,'By Lot - Hillcrest'!E65:E70,'By Lot - Hillcrest'!E82:E87,'By Lot - Hillcrest'!E99:E104,'By Lot - Hillcrest'!E116:E121,'By Lot - Hillcrest'!E133:E138,'By Lot - Hillcrest'!E150:E155,'By Lot - Hillcrest'!E167:E172,'By Lot - Hillcrest'!E184:E189,'By Lot - Hillcrest'!E201:E206,'By Lot - Hillcrest'!E218:E223,'By Lot - Hillcrest'!E235:E240)</f>
        <v>40</v>
      </c>
      <c r="D134" s="54">
        <f>SUM('By Lot - Hillcrest'!F14:F19,'By Lot - Hillcrest'!F31:F36,'By Lot - Hillcrest'!F48:F53,'By Lot - Hillcrest'!F65:F70,'By Lot - Hillcrest'!F82:F87,'By Lot - Hillcrest'!F99:F104,'By Lot - Hillcrest'!F116:F121,'By Lot - Hillcrest'!F133:F138,'By Lot - Hillcrest'!F150:F155,'By Lot - Hillcrest'!F167:F172,'By Lot - Hillcrest'!F184:F189,'By Lot - Hillcrest'!F201:F206,'By Lot - Hillcrest'!F218:F223,'By Lot - Hillcrest'!F235:F240)</f>
        <v>26</v>
      </c>
      <c r="E134" s="58">
        <f>SUM('By Lot - Hillcrest'!G14:G19,'By Lot - Hillcrest'!G31:G36,'By Lot - Hillcrest'!G48:G53,'By Lot - Hillcrest'!G65:G70,'By Lot - Hillcrest'!G82:G87,'By Lot - Hillcrest'!G99:G104,'By Lot - Hillcrest'!G116:G121,'By Lot - Hillcrest'!G133:G138,'By Lot - Hillcrest'!G150:G155,'By Lot - Hillcrest'!G167:G172,'By Lot - Hillcrest'!G184:G189,'By Lot - Hillcrest'!G201:G206,'By Lot - Hillcrest'!G218:G223,'By Lot - Hillcrest'!G235:G240)</f>
        <v>25</v>
      </c>
      <c r="F134" s="58">
        <f>SUM('By Lot - Hillcrest'!H14:H19,'By Lot - Hillcrest'!H31:H36,'By Lot - Hillcrest'!H48:H53,'By Lot - Hillcrest'!H65:H70,'By Lot - Hillcrest'!H82:H87,'By Lot - Hillcrest'!H99:H104,'By Lot - Hillcrest'!H116:H121,'By Lot - Hillcrest'!H133:H138,'By Lot - Hillcrest'!H150:H155,'By Lot - Hillcrest'!H167:H172,'By Lot - Hillcrest'!H184:H189,'By Lot - Hillcrest'!H201:H206,'By Lot - Hillcrest'!H218:H223,'By Lot - Hillcrest'!H235:H240)</f>
        <v>29</v>
      </c>
      <c r="G134" s="58">
        <f>SUM('By Lot - Hillcrest'!I14:I19,'By Lot - Hillcrest'!I31:I36,'By Lot - Hillcrest'!I48:I53,'By Lot - Hillcrest'!I65:I70,'By Lot - Hillcrest'!I82:I87,'By Lot - Hillcrest'!I99:I104,'By Lot - Hillcrest'!I116:I121,'By Lot - Hillcrest'!I133:I138,'By Lot - Hillcrest'!I150:I155,'By Lot - Hillcrest'!I167:I172,'By Lot - Hillcrest'!I184:I189,'By Lot - Hillcrest'!I201:I206,'By Lot - Hillcrest'!I218:I223,'By Lot - Hillcrest'!I235:I240)</f>
        <v>28</v>
      </c>
      <c r="H134" s="58">
        <f>SUM('By Lot - Hillcrest'!J14:J19,'By Lot - Hillcrest'!J31:J36,'By Lot - Hillcrest'!J48:J53,'By Lot - Hillcrest'!J65:J70,'By Lot - Hillcrest'!J82:J87,'By Lot - Hillcrest'!J99:J104,'By Lot - Hillcrest'!J116:J121,'By Lot - Hillcrest'!J133:J138,'By Lot - Hillcrest'!J150:J155,'By Lot - Hillcrest'!J167:J172,'By Lot - Hillcrest'!J184:J189,'By Lot - Hillcrest'!J201:J206,'By Lot - Hillcrest'!J218:J223,'By Lot - Hillcrest'!J235:J240)</f>
        <v>28</v>
      </c>
      <c r="I134" s="58">
        <f>SUM('By Lot - Hillcrest'!K14:K19,'By Lot - Hillcrest'!K31:K36,'By Lot - Hillcrest'!K48:K53,'By Lot - Hillcrest'!K65:K70,'By Lot - Hillcrest'!K82:K87,'By Lot - Hillcrest'!K99:K104,'By Lot - Hillcrest'!K116:K121,'By Lot - Hillcrest'!K133:K138,'By Lot - Hillcrest'!K150:K155,'By Lot - Hillcrest'!K167:K172,'By Lot - Hillcrest'!K184:K189,'By Lot - Hillcrest'!K201:K206,'By Lot - Hillcrest'!K218:K223,'By Lot - Hillcrest'!K235:K240)</f>
        <v>25</v>
      </c>
      <c r="J134" s="58">
        <f>SUM('By Lot - Hillcrest'!L14:L19,'By Lot - Hillcrest'!L31:L36,'By Lot - Hillcrest'!L48:L53,'By Lot - Hillcrest'!L65:L70,'By Lot - Hillcrest'!L82:L87,'By Lot - Hillcrest'!L99:L104,'By Lot - Hillcrest'!L116:L121,'By Lot - Hillcrest'!L133:L138,'By Lot - Hillcrest'!L150:L155,'By Lot - Hillcrest'!L167:L172,'By Lot - Hillcrest'!L184:L189,'By Lot - Hillcrest'!L201:L206,'By Lot - Hillcrest'!L218:L223,'By Lot - Hillcrest'!L235:L240)</f>
        <v>25</v>
      </c>
      <c r="K134" s="58">
        <f>SUM('By Lot - Hillcrest'!M14:M19,'By Lot - Hillcrest'!M31:M36,'By Lot - Hillcrest'!M48:M53,'By Lot - Hillcrest'!M65:M70,'By Lot - Hillcrest'!M82:M87,'By Lot - Hillcrest'!M99:M104,'By Lot - Hillcrest'!M116:M121,'By Lot - Hillcrest'!M133:M138,'By Lot - Hillcrest'!M150:M155,'By Lot - Hillcrest'!M167:M172,'By Lot - Hillcrest'!M184:M189,'By Lot - Hillcrest'!M201:M206,'By Lot - Hillcrest'!M218:M223,'By Lot - Hillcrest'!M235:M240)</f>
        <v>29</v>
      </c>
      <c r="L134" s="58">
        <f>SUM('By Lot - Hillcrest'!N14:N19,'By Lot - Hillcrest'!N31:N36,'By Lot - Hillcrest'!N48:N53,'By Lot - Hillcrest'!N65:N70,'By Lot - Hillcrest'!N82:N87,'By Lot - Hillcrest'!N99:N104,'By Lot - Hillcrest'!N116:N121,'By Lot - Hillcrest'!N133:N138,'By Lot - Hillcrest'!N150:N155,'By Lot - Hillcrest'!N167:N172,'By Lot - Hillcrest'!N184:N189,'By Lot - Hillcrest'!N201:N206,'By Lot - Hillcrest'!N218:N223,'By Lot - Hillcrest'!N235:N240)</f>
        <v>30</v>
      </c>
      <c r="M134" s="60">
        <f>SUM('By Lot - Hillcrest'!O14:O19,'By Lot - Hillcrest'!O31:O36,'By Lot - Hillcrest'!O48:O53,'By Lot - Hillcrest'!O65:O70,'By Lot - Hillcrest'!O82:O87,'By Lot - Hillcrest'!O99:O104,'By Lot - Hillcrest'!O116:O121,'By Lot - Hillcrest'!O133:O138,'By Lot - Hillcrest'!O150:O155,'By Lot - Hillcrest'!O167:O172,'By Lot - Hillcrest'!O184:O189,'By Lot - Hillcrest'!O201:O206,'By Lot - Hillcrest'!O218:O223,'By Lot - Hillcrest'!O235:O240)</f>
        <v>32</v>
      </c>
      <c r="N134" s="58">
        <f t="shared" si="61"/>
        <v>25</v>
      </c>
      <c r="O134" s="58">
        <f t="shared" si="62"/>
        <v>15</v>
      </c>
      <c r="P134" s="59">
        <f t="shared" si="63"/>
        <v>0.375</v>
      </c>
      <c r="Q134" s="6"/>
    </row>
    <row r="135" spans="1:17" ht="11.25" customHeight="1" outlineLevel="1" x14ac:dyDescent="0.4">
      <c r="A135" s="17"/>
      <c r="B135" s="17" t="s">
        <v>310</v>
      </c>
      <c r="C135" s="54">
        <f>SUM('By Lot - Hillcrest'!E20,'By Lot - Hillcrest'!E37,'By Lot - Hillcrest'!E54,'By Lot - Hillcrest'!E71,'By Lot - Hillcrest'!E88,'By Lot - Hillcrest'!E105,'By Lot - Hillcrest'!E122,'By Lot - Hillcrest'!E139,'By Lot - Hillcrest'!E156,'By Lot - Hillcrest'!E173,'By Lot - Hillcrest'!E190,'By Lot - Hillcrest'!E207,'By Lot - Hillcrest'!E224,'By Lot - Hillcrest'!E241)</f>
        <v>15</v>
      </c>
      <c r="D135" s="54">
        <f>SUM('By Lot - Hillcrest'!F20,'By Lot - Hillcrest'!F37,'By Lot - Hillcrest'!F54,'By Lot - Hillcrest'!F71,'By Lot - Hillcrest'!F88,'By Lot - Hillcrest'!F105,'By Lot - Hillcrest'!F122,'By Lot - Hillcrest'!F139,'By Lot - Hillcrest'!F156,'By Lot - Hillcrest'!F173,'By Lot - Hillcrest'!F190,'By Lot - Hillcrest'!F207,'By Lot - Hillcrest'!F224,'By Lot - Hillcrest'!F241)</f>
        <v>1</v>
      </c>
      <c r="E135" s="58">
        <f>SUM('By Lot - Hillcrest'!G20,'By Lot - Hillcrest'!G37,'By Lot - Hillcrest'!G54,'By Lot - Hillcrest'!G71,'By Lot - Hillcrest'!G88,'By Lot - Hillcrest'!G105,'By Lot - Hillcrest'!G122,'By Lot - Hillcrest'!G139,'By Lot - Hillcrest'!G156,'By Lot - Hillcrest'!G173,'By Lot - Hillcrest'!G190,'By Lot - Hillcrest'!G207,'By Lot - Hillcrest'!G224,'By Lot - Hillcrest'!G241)</f>
        <v>0</v>
      </c>
      <c r="F135" s="58">
        <f>SUM('By Lot - Hillcrest'!H20,'By Lot - Hillcrest'!H37,'By Lot - Hillcrest'!H54,'By Lot - Hillcrest'!H71,'By Lot - Hillcrest'!H88,'By Lot - Hillcrest'!H105,'By Lot - Hillcrest'!H122,'By Lot - Hillcrest'!H139,'By Lot - Hillcrest'!H156,'By Lot - Hillcrest'!H173,'By Lot - Hillcrest'!H190,'By Lot - Hillcrest'!H207,'By Lot - Hillcrest'!H224,'By Lot - Hillcrest'!H241)</f>
        <v>0</v>
      </c>
      <c r="G135" s="58">
        <f>SUM('By Lot - Hillcrest'!I20,'By Lot - Hillcrest'!I37,'By Lot - Hillcrest'!I54,'By Lot - Hillcrest'!I71,'By Lot - Hillcrest'!I88,'By Lot - Hillcrest'!I105,'By Lot - Hillcrest'!I122,'By Lot - Hillcrest'!I139,'By Lot - Hillcrest'!I156,'By Lot - Hillcrest'!I173,'By Lot - Hillcrest'!I190,'By Lot - Hillcrest'!I207,'By Lot - Hillcrest'!I224,'By Lot - Hillcrest'!I241)</f>
        <v>2</v>
      </c>
      <c r="H135" s="58">
        <f>SUM('By Lot - Hillcrest'!J20,'By Lot - Hillcrest'!J37,'By Lot - Hillcrest'!J54,'By Lot - Hillcrest'!J71,'By Lot - Hillcrest'!J88,'By Lot - Hillcrest'!J105,'By Lot - Hillcrest'!J122,'By Lot - Hillcrest'!J139,'By Lot - Hillcrest'!J156,'By Lot - Hillcrest'!J173,'By Lot - Hillcrest'!J190,'By Lot - Hillcrest'!J207,'By Lot - Hillcrest'!J224,'By Lot - Hillcrest'!J241)</f>
        <v>1</v>
      </c>
      <c r="I135" s="58">
        <f>SUM('By Lot - Hillcrest'!K20,'By Lot - Hillcrest'!K37,'By Lot - Hillcrest'!K54,'By Lot - Hillcrest'!K71,'By Lot - Hillcrest'!K88,'By Lot - Hillcrest'!K105,'By Lot - Hillcrest'!K122,'By Lot - Hillcrest'!K139,'By Lot - Hillcrest'!K156,'By Lot - Hillcrest'!K173,'By Lot - Hillcrest'!K190,'By Lot - Hillcrest'!K207,'By Lot - Hillcrest'!K224,'By Lot - Hillcrest'!K241)</f>
        <v>0</v>
      </c>
      <c r="J135" s="58">
        <f>SUM('By Lot - Hillcrest'!L20,'By Lot - Hillcrest'!L37,'By Lot - Hillcrest'!L54,'By Lot - Hillcrest'!L71,'By Lot - Hillcrest'!L88,'By Lot - Hillcrest'!L105,'By Lot - Hillcrest'!L122,'By Lot - Hillcrest'!L139,'By Lot - Hillcrest'!L156,'By Lot - Hillcrest'!L173,'By Lot - Hillcrest'!L190,'By Lot - Hillcrest'!L207,'By Lot - Hillcrest'!L224,'By Lot - Hillcrest'!L241)</f>
        <v>1</v>
      </c>
      <c r="K135" s="58">
        <f>SUM('By Lot - Hillcrest'!M20,'By Lot - Hillcrest'!M37,'By Lot - Hillcrest'!M54,'By Lot - Hillcrest'!M71,'By Lot - Hillcrest'!M88,'By Lot - Hillcrest'!M105,'By Lot - Hillcrest'!M122,'By Lot - Hillcrest'!M139,'By Lot - Hillcrest'!M156,'By Lot - Hillcrest'!M173,'By Lot - Hillcrest'!M190,'By Lot - Hillcrest'!M207,'By Lot - Hillcrest'!M224,'By Lot - Hillcrest'!M241)</f>
        <v>1</v>
      </c>
      <c r="L135" s="58">
        <f>SUM('By Lot - Hillcrest'!N20,'By Lot - Hillcrest'!N37,'By Lot - Hillcrest'!N54,'By Lot - Hillcrest'!N71,'By Lot - Hillcrest'!N88,'By Lot - Hillcrest'!N105,'By Lot - Hillcrest'!N122,'By Lot - Hillcrest'!N139,'By Lot - Hillcrest'!N156,'By Lot - Hillcrest'!N173,'By Lot - Hillcrest'!N190,'By Lot - Hillcrest'!N207,'By Lot - Hillcrest'!N224,'By Lot - Hillcrest'!N241)</f>
        <v>7</v>
      </c>
      <c r="M135" s="60">
        <f>SUM('By Lot - Hillcrest'!O20,'By Lot - Hillcrest'!O37,'By Lot - Hillcrest'!O54,'By Lot - Hillcrest'!O71,'By Lot - Hillcrest'!O88,'By Lot - Hillcrest'!O105,'By Lot - Hillcrest'!O122,'By Lot - Hillcrest'!O139,'By Lot - Hillcrest'!O156,'By Lot - Hillcrest'!O173,'By Lot - Hillcrest'!O190,'By Lot - Hillcrest'!O207,'By Lot - Hillcrest'!O224,'By Lot - Hillcrest'!O241)</f>
        <v>8</v>
      </c>
      <c r="N135" s="58">
        <f t="shared" si="61"/>
        <v>0</v>
      </c>
      <c r="O135" s="58">
        <f t="shared" si="62"/>
        <v>15</v>
      </c>
      <c r="P135" s="59">
        <f t="shared" si="63"/>
        <v>1</v>
      </c>
      <c r="Q135" s="6"/>
    </row>
    <row r="136" spans="1:17" ht="11.25" customHeight="1" outlineLevel="1" x14ac:dyDescent="0.4">
      <c r="A136" s="17"/>
      <c r="B136" s="17" t="s">
        <v>311</v>
      </c>
      <c r="C136" s="54">
        <f>SUM('By Lot - Hillcrest'!E21,'By Lot - Hillcrest'!E38,'By Lot - Hillcrest'!E55,'By Lot - Hillcrest'!E72,'By Lot - Hillcrest'!E89,'By Lot - Hillcrest'!E106,'By Lot - Hillcrest'!E123,'By Lot - Hillcrest'!E140,'By Lot - Hillcrest'!E157,'By Lot - Hillcrest'!E174,'By Lot - Hillcrest'!E191,'By Lot - Hillcrest'!E208,'By Lot - Hillcrest'!E225,'By Lot - Hillcrest'!E242)</f>
        <v>2</v>
      </c>
      <c r="D136" s="54">
        <f>SUM('By Lot - Hillcrest'!F21,'By Lot - Hillcrest'!F38,'By Lot - Hillcrest'!F55,'By Lot - Hillcrest'!F72,'By Lot - Hillcrest'!F89,'By Lot - Hillcrest'!F106,'By Lot - Hillcrest'!F123,'By Lot - Hillcrest'!F140,'By Lot - Hillcrest'!F157,'By Lot - Hillcrest'!F174,'By Lot - Hillcrest'!F191,'By Lot - Hillcrest'!F208,'By Lot - Hillcrest'!F225,'By Lot - Hillcrest'!F242)</f>
        <v>0</v>
      </c>
      <c r="E136" s="58">
        <f>SUM('By Lot - Hillcrest'!G21,'By Lot - Hillcrest'!G38,'By Lot - Hillcrest'!G55,'By Lot - Hillcrest'!G72,'By Lot - Hillcrest'!G89,'By Lot - Hillcrest'!G106,'By Lot - Hillcrest'!G123,'By Lot - Hillcrest'!G140,'By Lot - Hillcrest'!G157,'By Lot - Hillcrest'!G174,'By Lot - Hillcrest'!G191,'By Lot - Hillcrest'!G208,'By Lot - Hillcrest'!G225,'By Lot - Hillcrest'!G242)</f>
        <v>1</v>
      </c>
      <c r="F136" s="58">
        <f>SUM('By Lot - Hillcrest'!H21,'By Lot - Hillcrest'!H38,'By Lot - Hillcrest'!H55,'By Lot - Hillcrest'!H72,'By Lot - Hillcrest'!H89,'By Lot - Hillcrest'!H106,'By Lot - Hillcrest'!H123,'By Lot - Hillcrest'!H140,'By Lot - Hillcrest'!H157,'By Lot - Hillcrest'!H174,'By Lot - Hillcrest'!H191,'By Lot - Hillcrest'!H208,'By Lot - Hillcrest'!H225,'By Lot - Hillcrest'!H242)</f>
        <v>1</v>
      </c>
      <c r="G136" s="58">
        <f>SUM('By Lot - Hillcrest'!I21,'By Lot - Hillcrest'!I38,'By Lot - Hillcrest'!I55,'By Lot - Hillcrest'!I72,'By Lot - Hillcrest'!I89,'By Lot - Hillcrest'!I106,'By Lot - Hillcrest'!I123,'By Lot - Hillcrest'!I140,'By Lot - Hillcrest'!I157,'By Lot - Hillcrest'!I174,'By Lot - Hillcrest'!I191,'By Lot - Hillcrest'!I208,'By Lot - Hillcrest'!I225,'By Lot - Hillcrest'!I242)</f>
        <v>1</v>
      </c>
      <c r="H136" s="58">
        <f>SUM('By Lot - Hillcrest'!J21,'By Lot - Hillcrest'!J38,'By Lot - Hillcrest'!J55,'By Lot - Hillcrest'!J72,'By Lot - Hillcrest'!J89,'By Lot - Hillcrest'!J106,'By Lot - Hillcrest'!J123,'By Lot - Hillcrest'!J140,'By Lot - Hillcrest'!J157,'By Lot - Hillcrest'!J174,'By Lot - Hillcrest'!J191,'By Lot - Hillcrest'!J208,'By Lot - Hillcrest'!J225,'By Lot - Hillcrest'!J242)</f>
        <v>1</v>
      </c>
      <c r="I136" s="58">
        <f>SUM('By Lot - Hillcrest'!K21,'By Lot - Hillcrest'!K38,'By Lot - Hillcrest'!K55,'By Lot - Hillcrest'!K72,'By Lot - Hillcrest'!K89,'By Lot - Hillcrest'!K106,'By Lot - Hillcrest'!K123,'By Lot - Hillcrest'!K140,'By Lot - Hillcrest'!K157,'By Lot - Hillcrest'!K174,'By Lot - Hillcrest'!K191,'By Lot - Hillcrest'!K208,'By Lot - Hillcrest'!K225,'By Lot - Hillcrest'!K242)</f>
        <v>1</v>
      </c>
      <c r="J136" s="58">
        <f>SUM('By Lot - Hillcrest'!L21,'By Lot - Hillcrest'!L38,'By Lot - Hillcrest'!L55,'By Lot - Hillcrest'!L72,'By Lot - Hillcrest'!L89,'By Lot - Hillcrest'!L106,'By Lot - Hillcrest'!L123,'By Lot - Hillcrest'!L140,'By Lot - Hillcrest'!L157,'By Lot - Hillcrest'!L174,'By Lot - Hillcrest'!L191,'By Lot - Hillcrest'!L208,'By Lot - Hillcrest'!L225,'By Lot - Hillcrest'!L242)</f>
        <v>2</v>
      </c>
      <c r="K136" s="58">
        <f>SUM('By Lot - Hillcrest'!M21,'By Lot - Hillcrest'!M38,'By Lot - Hillcrest'!M55,'By Lot - Hillcrest'!M72,'By Lot - Hillcrest'!M89,'By Lot - Hillcrest'!M106,'By Lot - Hillcrest'!M123,'By Lot - Hillcrest'!M140,'By Lot - Hillcrest'!M157,'By Lot - Hillcrest'!M174,'By Lot - Hillcrest'!M191,'By Lot - Hillcrest'!M208,'By Lot - Hillcrest'!M225,'By Lot - Hillcrest'!M242)</f>
        <v>1</v>
      </c>
      <c r="L136" s="58">
        <f>SUM('By Lot - Hillcrest'!N21,'By Lot - Hillcrest'!N38,'By Lot - Hillcrest'!N55,'By Lot - Hillcrest'!N72,'By Lot - Hillcrest'!N89,'By Lot - Hillcrest'!N106,'By Lot - Hillcrest'!N123,'By Lot - Hillcrest'!N140,'By Lot - Hillcrest'!N157,'By Lot - Hillcrest'!N174,'By Lot - Hillcrest'!N191,'By Lot - Hillcrest'!N208,'By Lot - Hillcrest'!N225,'By Lot - Hillcrest'!N242)</f>
        <v>1</v>
      </c>
      <c r="M136" s="60">
        <f>SUM('By Lot - Hillcrest'!O21,'By Lot - Hillcrest'!O38,'By Lot - Hillcrest'!O55,'By Lot - Hillcrest'!O72,'By Lot - Hillcrest'!O89,'By Lot - Hillcrest'!O106,'By Lot - Hillcrest'!O123,'By Lot - Hillcrest'!O140,'By Lot - Hillcrest'!O157,'By Lot - Hillcrest'!O174,'By Lot - Hillcrest'!O191,'By Lot - Hillcrest'!O208,'By Lot - Hillcrest'!O225,'By Lot - Hillcrest'!O242)</f>
        <v>0</v>
      </c>
      <c r="N136" s="58">
        <f t="shared" si="61"/>
        <v>0</v>
      </c>
      <c r="O136" s="58">
        <f t="shared" si="62"/>
        <v>2</v>
      </c>
      <c r="P136" s="59">
        <f t="shared" si="63"/>
        <v>1</v>
      </c>
      <c r="Q136" s="6"/>
    </row>
    <row r="137" spans="1:17" ht="11.25" customHeight="1" outlineLevel="1" x14ac:dyDescent="0.4">
      <c r="A137" s="17"/>
      <c r="B137" s="17" t="s">
        <v>312</v>
      </c>
      <c r="C137" s="54"/>
      <c r="D137" s="32"/>
      <c r="E137" s="6"/>
      <c r="F137" s="6"/>
      <c r="G137" s="6"/>
      <c r="H137" s="6"/>
      <c r="I137" s="6"/>
      <c r="J137" s="6"/>
      <c r="K137" s="6"/>
      <c r="L137" s="6"/>
      <c r="M137" s="31"/>
      <c r="N137" s="32"/>
      <c r="O137" s="6"/>
      <c r="P137" s="59"/>
      <c r="Q137" s="6"/>
    </row>
    <row r="138" spans="1:17" ht="11.25" customHeight="1" outlineLevel="1" x14ac:dyDescent="0.4">
      <c r="A138" s="17"/>
      <c r="B138" s="17" t="s">
        <v>313</v>
      </c>
      <c r="C138" s="54"/>
      <c r="D138" s="32"/>
      <c r="E138" s="6"/>
      <c r="F138" s="6"/>
      <c r="G138" s="6"/>
      <c r="H138" s="6"/>
      <c r="I138" s="6"/>
      <c r="J138" s="6"/>
      <c r="K138" s="6"/>
      <c r="L138" s="6"/>
      <c r="M138" s="31"/>
      <c r="N138" s="32"/>
      <c r="O138" s="6"/>
      <c r="P138" s="59"/>
      <c r="Q138" s="6"/>
    </row>
    <row r="139" spans="1:17" ht="11.25" customHeight="1" x14ac:dyDescent="0.4">
      <c r="A139" s="34"/>
      <c r="B139" s="65" t="s">
        <v>314</v>
      </c>
      <c r="C139" s="70">
        <f t="shared" ref="C139:M139" si="64">SUM(C129:C138)</f>
        <v>543</v>
      </c>
      <c r="D139" s="70">
        <f t="shared" si="64"/>
        <v>257</v>
      </c>
      <c r="E139" s="71">
        <f t="shared" si="64"/>
        <v>148</v>
      </c>
      <c r="F139" s="71">
        <f t="shared" si="64"/>
        <v>116</v>
      </c>
      <c r="G139" s="71">
        <f t="shared" si="64"/>
        <v>107</v>
      </c>
      <c r="H139" s="71">
        <f t="shared" si="64"/>
        <v>122</v>
      </c>
      <c r="I139" s="71">
        <f t="shared" si="64"/>
        <v>108</v>
      </c>
      <c r="J139" s="71">
        <f t="shared" si="64"/>
        <v>117</v>
      </c>
      <c r="K139" s="71">
        <f t="shared" si="64"/>
        <v>145</v>
      </c>
      <c r="L139" s="71">
        <f t="shared" si="64"/>
        <v>198</v>
      </c>
      <c r="M139" s="157">
        <f t="shared" si="64"/>
        <v>294</v>
      </c>
      <c r="N139" s="71">
        <f>MIN(D139:M139)</f>
        <v>107</v>
      </c>
      <c r="O139" s="71">
        <f>C139-N139</f>
        <v>436</v>
      </c>
      <c r="P139" s="72">
        <f>O139/C139</f>
        <v>0.80294659300184157</v>
      </c>
      <c r="Q139" s="6"/>
    </row>
    <row r="140" spans="1:17" ht="11.25" customHeight="1" outlineLevel="1" x14ac:dyDescent="0.4">
      <c r="A140" s="15" t="s">
        <v>262</v>
      </c>
      <c r="B140" s="17" t="s">
        <v>300</v>
      </c>
      <c r="C140" s="17"/>
      <c r="D140" s="32"/>
      <c r="E140" s="6"/>
      <c r="F140" s="6"/>
      <c r="G140" s="6"/>
      <c r="H140" s="6"/>
      <c r="I140" s="6"/>
      <c r="J140" s="6"/>
      <c r="K140" s="6"/>
      <c r="L140" s="6"/>
      <c r="M140" s="31"/>
      <c r="N140" s="32"/>
      <c r="O140" s="6"/>
      <c r="P140" s="59"/>
      <c r="Q140" s="6"/>
    </row>
    <row r="141" spans="1:17" ht="11.25" customHeight="1" outlineLevel="1" x14ac:dyDescent="0.4">
      <c r="A141" s="17" t="s">
        <v>267</v>
      </c>
      <c r="B141" s="17" t="s">
        <v>301</v>
      </c>
      <c r="C141" s="54">
        <f>SUM('By Lot - Hillcrest'!E247, 'By Lot - Hillcrest'!E264, 'By Lot - Hillcrest'!E281, 'By Lot - Hillcrest'!E298, 'By Lot - Hillcrest'!E315, 'By Lot - Hillcrest'!E332, 'By Lot - Hillcrest'!E349, 'By Lot - Hillcrest'!E366, 'By Lot - Hillcrest'!E383, 'By Lot - Hillcrest'!E400, 'By Lot - Hillcrest'!E417)</f>
        <v>1020</v>
      </c>
      <c r="D141" s="54">
        <f>SUM('By Lot - Hillcrest'!F247, 'By Lot - Hillcrest'!F264, 'By Lot - Hillcrest'!F281, 'By Lot - Hillcrest'!F298, 'By Lot - Hillcrest'!F315, 'By Lot - Hillcrest'!F332, 'By Lot - Hillcrest'!F349, 'By Lot - Hillcrest'!F366, 'By Lot - Hillcrest'!F383, 'By Lot - Hillcrest'!F400, 'By Lot - Hillcrest'!F417)</f>
        <v>292</v>
      </c>
      <c r="E141" s="58">
        <f>SUM('By Lot - Hillcrest'!G247, 'By Lot - Hillcrest'!G264, 'By Lot - Hillcrest'!G281, 'By Lot - Hillcrest'!G298, 'By Lot - Hillcrest'!G315, 'By Lot - Hillcrest'!G332, 'By Lot - Hillcrest'!G349, 'By Lot - Hillcrest'!G366, 'By Lot - Hillcrest'!G383, 'By Lot - Hillcrest'!G400, 'By Lot - Hillcrest'!G417)</f>
        <v>187</v>
      </c>
      <c r="F141" s="58">
        <f>SUM('By Lot - Hillcrest'!H247, 'By Lot - Hillcrest'!H264, 'By Lot - Hillcrest'!H281, 'By Lot - Hillcrest'!H298, 'By Lot - Hillcrest'!H315, 'By Lot - Hillcrest'!H332, 'By Lot - Hillcrest'!H349, 'By Lot - Hillcrest'!H366, 'By Lot - Hillcrest'!H383, 'By Lot - Hillcrest'!H400, 'By Lot - Hillcrest'!H417)</f>
        <v>131</v>
      </c>
      <c r="G141" s="58">
        <f>SUM('By Lot - Hillcrest'!I247, 'By Lot - Hillcrest'!I264, 'By Lot - Hillcrest'!I281, 'By Lot - Hillcrest'!I298, 'By Lot - Hillcrest'!I315, 'By Lot - Hillcrest'!I332, 'By Lot - Hillcrest'!I349, 'By Lot - Hillcrest'!I366, 'By Lot - Hillcrest'!I383, 'By Lot - Hillcrest'!I400, 'By Lot - Hillcrest'!I417)</f>
        <v>137</v>
      </c>
      <c r="H141" s="58">
        <f>SUM('By Lot - Hillcrest'!J247, 'By Lot - Hillcrest'!J264, 'By Lot - Hillcrest'!J281, 'By Lot - Hillcrest'!J298, 'By Lot - Hillcrest'!J315, 'By Lot - Hillcrest'!J332, 'By Lot - Hillcrest'!J349, 'By Lot - Hillcrest'!J366, 'By Lot - Hillcrest'!J383, 'By Lot - Hillcrest'!J400, 'By Lot - Hillcrest'!J417)</f>
        <v>150</v>
      </c>
      <c r="I141" s="58">
        <f>SUM('By Lot - Hillcrest'!K247, 'By Lot - Hillcrest'!K264, 'By Lot - Hillcrest'!K281, 'By Lot - Hillcrest'!K298, 'By Lot - Hillcrest'!K315, 'By Lot - Hillcrest'!K332, 'By Lot - Hillcrest'!K349, 'By Lot - Hillcrest'!K366, 'By Lot - Hillcrest'!K383, 'By Lot - Hillcrest'!K400, 'By Lot - Hillcrest'!K417)</f>
        <v>157</v>
      </c>
      <c r="J141" s="58">
        <f>SUM('By Lot - Hillcrest'!L247, 'By Lot - Hillcrest'!L264, 'By Lot - Hillcrest'!L281, 'By Lot - Hillcrest'!L298, 'By Lot - Hillcrest'!L315, 'By Lot - Hillcrest'!L332, 'By Lot - Hillcrest'!L349, 'By Lot - Hillcrest'!L366, 'By Lot - Hillcrest'!L383, 'By Lot - Hillcrest'!L400, 'By Lot - Hillcrest'!L417)</f>
        <v>161</v>
      </c>
      <c r="K141" s="58">
        <f>SUM('By Lot - Hillcrest'!M247, 'By Lot - Hillcrest'!M264, 'By Lot - Hillcrest'!M281, 'By Lot - Hillcrest'!M298, 'By Lot - Hillcrest'!M315, 'By Lot - Hillcrest'!M332, 'By Lot - Hillcrest'!M349, 'By Lot - Hillcrest'!M366, 'By Lot - Hillcrest'!M383, 'By Lot - Hillcrest'!M400, 'By Lot - Hillcrest'!M417)</f>
        <v>228</v>
      </c>
      <c r="L141" s="58">
        <f>SUM('By Lot - Hillcrest'!N247, 'By Lot - Hillcrest'!N264, 'By Lot - Hillcrest'!N281, 'By Lot - Hillcrest'!N298, 'By Lot - Hillcrest'!N315, 'By Lot - Hillcrest'!N332, 'By Lot - Hillcrest'!N349, 'By Lot - Hillcrest'!N366, 'By Lot - Hillcrest'!N383, 'By Lot - Hillcrest'!N400, 'By Lot - Hillcrest'!N417)</f>
        <v>418</v>
      </c>
      <c r="M141" s="60">
        <f>SUM('By Lot - Hillcrest'!O247, 'By Lot - Hillcrest'!O264, 'By Lot - Hillcrest'!O281, 'By Lot - Hillcrest'!O298, 'By Lot - Hillcrest'!O315, 'By Lot - Hillcrest'!O332, 'By Lot - Hillcrest'!O349, 'By Lot - Hillcrest'!O366, 'By Lot - Hillcrest'!O383, 'By Lot - Hillcrest'!O400, 'By Lot - Hillcrest'!O417)</f>
        <v>565</v>
      </c>
      <c r="N141" s="58">
        <f>MIN(D141:M141)</f>
        <v>131</v>
      </c>
      <c r="O141" s="58">
        <f>C141-N141</f>
        <v>889</v>
      </c>
      <c r="P141" s="59">
        <f>O141/C141</f>
        <v>0.8715686274509804</v>
      </c>
      <c r="Q141" s="6"/>
    </row>
    <row r="142" spans="1:17" ht="11.25" customHeight="1" outlineLevel="1" x14ac:dyDescent="0.4">
      <c r="A142" s="17"/>
      <c r="B142" s="17" t="s">
        <v>303</v>
      </c>
      <c r="C142" s="17"/>
      <c r="D142" s="32"/>
      <c r="E142" s="6"/>
      <c r="F142" s="6"/>
      <c r="G142" s="6"/>
      <c r="H142" s="6"/>
      <c r="I142" s="6"/>
      <c r="J142" s="6"/>
      <c r="K142" s="6"/>
      <c r="L142" s="6"/>
      <c r="M142" s="31"/>
      <c r="N142" s="32"/>
      <c r="O142" s="6"/>
      <c r="P142" s="59"/>
      <c r="Q142" s="6"/>
    </row>
    <row r="143" spans="1:17" ht="11.25" customHeight="1" outlineLevel="1" x14ac:dyDescent="0.4">
      <c r="A143" s="17"/>
      <c r="B143" s="17" t="s">
        <v>307</v>
      </c>
      <c r="C143" s="17"/>
      <c r="D143" s="32"/>
      <c r="E143" s="6"/>
      <c r="F143" s="6"/>
      <c r="G143" s="6"/>
      <c r="H143" s="6"/>
      <c r="I143" s="6"/>
      <c r="J143" s="6"/>
      <c r="K143" s="6"/>
      <c r="L143" s="6"/>
      <c r="M143" s="31"/>
      <c r="N143" s="32"/>
      <c r="O143" s="6"/>
      <c r="P143" s="59"/>
      <c r="Q143" s="6"/>
    </row>
    <row r="144" spans="1:17" ht="11.25" customHeight="1" outlineLevel="1" x14ac:dyDescent="0.4">
      <c r="A144" s="17"/>
      <c r="B144" s="17" t="s">
        <v>308</v>
      </c>
      <c r="C144" s="17"/>
      <c r="D144" s="32"/>
      <c r="E144" s="6"/>
      <c r="F144" s="6"/>
      <c r="G144" s="6"/>
      <c r="H144" s="6"/>
      <c r="I144" s="6"/>
      <c r="J144" s="6"/>
      <c r="K144" s="6"/>
      <c r="L144" s="6"/>
      <c r="M144" s="31"/>
      <c r="N144" s="32"/>
      <c r="O144" s="6"/>
      <c r="P144" s="59"/>
      <c r="Q144" s="6"/>
    </row>
    <row r="145" spans="1:17" ht="11.25" customHeight="1" outlineLevel="1" x14ac:dyDescent="0.4">
      <c r="A145" s="17"/>
      <c r="B145" s="17" t="s">
        <v>309</v>
      </c>
      <c r="C145" s="54">
        <f>SUM('By Lot - Hillcrest'!E252:E257,'By Lot - Hillcrest'!E269:E274,'By Lot - Hillcrest'!E286:E291,'By Lot - Hillcrest'!E303:E308,'By Lot - Hillcrest'!E320:E325,'By Lot - Hillcrest'!E337:E342,'By Lot - Hillcrest'!E354:E359,'By Lot - Hillcrest'!E371:E376,'By Lot - Hillcrest'!E388:E393,'By Lot - Hillcrest'!E404:E410,'By Lot - Hillcrest'!E422:E427)</f>
        <v>7</v>
      </c>
      <c r="D145" s="54">
        <f>SUM('By Lot - Hillcrest'!F252:F257,'By Lot - Hillcrest'!F269:F274,'By Lot - Hillcrest'!F286:F291,'By Lot - Hillcrest'!F303:F308,'By Lot - Hillcrest'!F320:F325,'By Lot - Hillcrest'!F337:F342,'By Lot - Hillcrest'!F354:F359,'By Lot - Hillcrest'!F371:F376,'By Lot - Hillcrest'!F388:F393,'By Lot - Hillcrest'!F404:F410,'By Lot - Hillcrest'!F422:F427)</f>
        <v>5</v>
      </c>
      <c r="E145" s="58">
        <f>SUM('By Lot - Hillcrest'!G252:G257,'By Lot - Hillcrest'!G269:G274,'By Lot - Hillcrest'!G286:G291,'By Lot - Hillcrest'!G303:G308,'By Lot - Hillcrest'!G320:G325,'By Lot - Hillcrest'!G337:G342,'By Lot - Hillcrest'!G354:G359,'By Lot - Hillcrest'!G371:G376,'By Lot - Hillcrest'!G388:G393,'By Lot - Hillcrest'!G404:G410,'By Lot - Hillcrest'!G422:G427)</f>
        <v>3</v>
      </c>
      <c r="F145" s="58">
        <f>SUM('By Lot - Hillcrest'!H252:H257,'By Lot - Hillcrest'!H269:H274,'By Lot - Hillcrest'!H286:H291,'By Lot - Hillcrest'!H303:H308,'By Lot - Hillcrest'!H320:H325,'By Lot - Hillcrest'!H337:H342,'By Lot - Hillcrest'!H354:H359,'By Lot - Hillcrest'!H371:H376,'By Lot - Hillcrest'!H388:H393,'By Lot - Hillcrest'!H404:H410,'By Lot - Hillcrest'!H422:H427)</f>
        <v>3</v>
      </c>
      <c r="G145" s="58">
        <f>SUM('By Lot - Hillcrest'!I252:I257,'By Lot - Hillcrest'!I269:I274,'By Lot - Hillcrest'!I286:I291,'By Lot - Hillcrest'!I303:I308,'By Lot - Hillcrest'!I320:I325,'By Lot - Hillcrest'!I337:I342,'By Lot - Hillcrest'!I354:I359,'By Lot - Hillcrest'!I371:I376,'By Lot - Hillcrest'!I388:I393,'By Lot - Hillcrest'!I404:I410,'By Lot - Hillcrest'!I422:I427)</f>
        <v>1</v>
      </c>
      <c r="H145" s="58">
        <f>SUM('By Lot - Hillcrest'!J252:J257,'By Lot - Hillcrest'!J269:J274,'By Lot - Hillcrest'!J286:J291,'By Lot - Hillcrest'!J303:J308,'By Lot - Hillcrest'!J320:J325,'By Lot - Hillcrest'!J337:J342,'By Lot - Hillcrest'!J354:J359,'By Lot - Hillcrest'!J371:J376,'By Lot - Hillcrest'!J388:J393,'By Lot - Hillcrest'!J404:J410,'By Lot - Hillcrest'!J422:J427)</f>
        <v>1</v>
      </c>
      <c r="I145" s="58">
        <f>SUM('By Lot - Hillcrest'!K252:K257,'By Lot - Hillcrest'!K269:K274,'By Lot - Hillcrest'!K286:K291,'By Lot - Hillcrest'!K303:K308,'By Lot - Hillcrest'!K320:K325,'By Lot - Hillcrest'!K337:K342,'By Lot - Hillcrest'!K354:K359,'By Lot - Hillcrest'!K371:K376,'By Lot - Hillcrest'!K388:K393,'By Lot - Hillcrest'!K404:K410,'By Lot - Hillcrest'!K422:K427)</f>
        <v>1</v>
      </c>
      <c r="J145" s="58">
        <f>SUM('By Lot - Hillcrest'!L252:L257,'By Lot - Hillcrest'!L269:L274,'By Lot - Hillcrest'!L286:L291,'By Lot - Hillcrest'!L303:L308,'By Lot - Hillcrest'!L320:L325,'By Lot - Hillcrest'!L337:L342,'By Lot - Hillcrest'!L354:L359,'By Lot - Hillcrest'!L371:L376,'By Lot - Hillcrest'!L388:L393,'By Lot - Hillcrest'!L404:L410,'By Lot - Hillcrest'!L422:L427)</f>
        <v>1</v>
      </c>
      <c r="K145" s="58">
        <f>SUM('By Lot - Hillcrest'!M252:M257,'By Lot - Hillcrest'!M269:M274,'By Lot - Hillcrest'!M286:M291,'By Lot - Hillcrest'!M303:M308,'By Lot - Hillcrest'!M320:M325,'By Lot - Hillcrest'!M337:M342,'By Lot - Hillcrest'!M354:M359,'By Lot - Hillcrest'!M371:M376,'By Lot - Hillcrest'!M388:M393,'By Lot - Hillcrest'!M404:M410,'By Lot - Hillcrest'!M422:M427)</f>
        <v>2</v>
      </c>
      <c r="L145" s="58">
        <f>SUM('By Lot - Hillcrest'!N252:N257,'By Lot - Hillcrest'!N269:N274,'By Lot - Hillcrest'!N286:N291,'By Lot - Hillcrest'!N303:N308,'By Lot - Hillcrest'!N320:N325,'By Lot - Hillcrest'!N337:N342,'By Lot - Hillcrest'!N354:N359,'By Lot - Hillcrest'!N371:N376,'By Lot - Hillcrest'!N388:N393,'By Lot - Hillcrest'!N404:N410,'By Lot - Hillcrest'!N422:N427)</f>
        <v>3</v>
      </c>
      <c r="M145" s="60">
        <f>SUM('By Lot - Hillcrest'!O252:O257,'By Lot - Hillcrest'!O269:O274,'By Lot - Hillcrest'!O286:O291,'By Lot - Hillcrest'!O303:O308,'By Lot - Hillcrest'!O320:O325,'By Lot - Hillcrest'!O337:O342,'By Lot - Hillcrest'!O354:O359,'By Lot - Hillcrest'!O371:O376,'By Lot - Hillcrest'!O388:O393,'By Lot - Hillcrest'!O404:O410,'By Lot - Hillcrest'!O422:O427)</f>
        <v>4</v>
      </c>
      <c r="N145" s="58">
        <f t="shared" ref="N145:N146" si="65">MIN(D145:M145)</f>
        <v>1</v>
      </c>
      <c r="O145" s="58">
        <f t="shared" ref="O145:O146" si="66">C145-N145</f>
        <v>6</v>
      </c>
      <c r="P145" s="59">
        <f t="shared" ref="P145:P146" si="67">O145/C145</f>
        <v>0.8571428571428571</v>
      </c>
      <c r="Q145" s="6"/>
    </row>
    <row r="146" spans="1:17" ht="11.25" customHeight="1" outlineLevel="1" x14ac:dyDescent="0.4">
      <c r="A146" s="17"/>
      <c r="B146" s="17" t="s">
        <v>310</v>
      </c>
      <c r="C146" s="54">
        <f>SUM('By Lot - Hillcrest'!E258, 'By Lot - Hillcrest'!E275, 'By Lot - Hillcrest'!E343)</f>
        <v>5</v>
      </c>
      <c r="D146" s="54">
        <f>SUM('By Lot - Hillcrest'!F258, 'By Lot - Hillcrest'!F275, 'By Lot - Hillcrest'!F343)</f>
        <v>4</v>
      </c>
      <c r="E146" s="58">
        <f>SUM('By Lot - Hillcrest'!G258, 'By Lot - Hillcrest'!G275, 'By Lot - Hillcrest'!G343)</f>
        <v>3</v>
      </c>
      <c r="F146" s="58">
        <f>SUM('By Lot - Hillcrest'!H258, 'By Lot - Hillcrest'!H275, 'By Lot - Hillcrest'!H343)</f>
        <v>2</v>
      </c>
      <c r="G146" s="58">
        <f>SUM('By Lot - Hillcrest'!I258, 'By Lot - Hillcrest'!I275, 'By Lot - Hillcrest'!I343)</f>
        <v>2</v>
      </c>
      <c r="H146" s="58">
        <f>SUM('By Lot - Hillcrest'!J258, 'By Lot - Hillcrest'!J275, 'By Lot - Hillcrest'!J343)</f>
        <v>2</v>
      </c>
      <c r="I146" s="58">
        <f>SUM('By Lot - Hillcrest'!K258, 'By Lot - Hillcrest'!K275, 'By Lot - Hillcrest'!K343)</f>
        <v>2</v>
      </c>
      <c r="J146" s="58">
        <f>SUM('By Lot - Hillcrest'!L258, 'By Lot - Hillcrest'!L275, 'By Lot - Hillcrest'!L343)</f>
        <v>2</v>
      </c>
      <c r="K146" s="58">
        <f>SUM('By Lot - Hillcrest'!M258, 'By Lot - Hillcrest'!M275, 'By Lot - Hillcrest'!M343)</f>
        <v>2</v>
      </c>
      <c r="L146" s="58">
        <f>SUM('By Lot - Hillcrest'!N258, 'By Lot - Hillcrest'!N275, 'By Lot - Hillcrest'!N343)</f>
        <v>2</v>
      </c>
      <c r="M146" s="60">
        <f>SUM('By Lot - Hillcrest'!O258, 'By Lot - Hillcrest'!O275, 'By Lot - Hillcrest'!O343)</f>
        <v>3</v>
      </c>
      <c r="N146" s="58">
        <f t="shared" si="65"/>
        <v>2</v>
      </c>
      <c r="O146" s="58">
        <f t="shared" si="66"/>
        <v>3</v>
      </c>
      <c r="P146" s="59">
        <f t="shared" si="67"/>
        <v>0.6</v>
      </c>
      <c r="Q146" s="6"/>
    </row>
    <row r="147" spans="1:17" ht="11.25" customHeight="1" outlineLevel="1" x14ac:dyDescent="0.4">
      <c r="A147" s="17"/>
      <c r="B147" s="17" t="s">
        <v>311</v>
      </c>
      <c r="C147" s="17"/>
      <c r="D147" s="32"/>
      <c r="E147" s="6"/>
      <c r="F147" s="6"/>
      <c r="G147" s="6"/>
      <c r="H147" s="6"/>
      <c r="I147" s="6"/>
      <c r="J147" s="6"/>
      <c r="K147" s="6"/>
      <c r="L147" s="6"/>
      <c r="M147" s="31"/>
      <c r="N147" s="32"/>
      <c r="O147" s="6"/>
      <c r="P147" s="59"/>
      <c r="Q147" s="6"/>
    </row>
    <row r="148" spans="1:17" ht="11.25" customHeight="1" outlineLevel="1" x14ac:dyDescent="0.4">
      <c r="A148" s="17"/>
      <c r="B148" s="17" t="s">
        <v>312</v>
      </c>
      <c r="C148" s="17"/>
      <c r="D148" s="32"/>
      <c r="E148" s="6"/>
      <c r="F148" s="6"/>
      <c r="G148" s="6"/>
      <c r="H148" s="6"/>
      <c r="I148" s="6"/>
      <c r="J148" s="6"/>
      <c r="K148" s="6"/>
      <c r="L148" s="6"/>
      <c r="M148" s="31"/>
      <c r="N148" s="32"/>
      <c r="O148" s="6"/>
      <c r="P148" s="59"/>
      <c r="Q148" s="6"/>
    </row>
    <row r="149" spans="1:17" ht="11.25" customHeight="1" outlineLevel="1" x14ac:dyDescent="0.4">
      <c r="A149" s="17"/>
      <c r="B149" s="17" t="s">
        <v>313</v>
      </c>
      <c r="C149" s="17"/>
      <c r="D149" s="32"/>
      <c r="E149" s="6"/>
      <c r="F149" s="6"/>
      <c r="G149" s="6"/>
      <c r="H149" s="6"/>
      <c r="I149" s="6"/>
      <c r="J149" s="6"/>
      <c r="K149" s="6"/>
      <c r="L149" s="6"/>
      <c r="M149" s="31"/>
      <c r="N149" s="32"/>
      <c r="O149" s="6"/>
      <c r="P149" s="59"/>
      <c r="Q149" s="6"/>
    </row>
    <row r="150" spans="1:17" ht="11.25" customHeight="1" x14ac:dyDescent="0.4">
      <c r="A150" s="34"/>
      <c r="B150" s="65" t="s">
        <v>314</v>
      </c>
      <c r="C150" s="104">
        <f t="shared" ref="C150:M150" si="68">SUM(C140:C149)</f>
        <v>1032</v>
      </c>
      <c r="D150" s="101">
        <f t="shared" si="68"/>
        <v>301</v>
      </c>
      <c r="E150" s="102">
        <f t="shared" si="68"/>
        <v>193</v>
      </c>
      <c r="F150" s="102">
        <f t="shared" si="68"/>
        <v>136</v>
      </c>
      <c r="G150" s="102">
        <f t="shared" si="68"/>
        <v>140</v>
      </c>
      <c r="H150" s="102">
        <f t="shared" si="68"/>
        <v>153</v>
      </c>
      <c r="I150" s="102">
        <f t="shared" si="68"/>
        <v>160</v>
      </c>
      <c r="J150" s="102">
        <f t="shared" si="68"/>
        <v>164</v>
      </c>
      <c r="K150" s="102">
        <f t="shared" si="68"/>
        <v>232</v>
      </c>
      <c r="L150" s="102">
        <f t="shared" si="68"/>
        <v>423</v>
      </c>
      <c r="M150" s="103">
        <f t="shared" si="68"/>
        <v>572</v>
      </c>
      <c r="N150" s="128">
        <f>MIN(D150:M150)</f>
        <v>136</v>
      </c>
      <c r="O150" s="128">
        <f>C150-N150</f>
        <v>896</v>
      </c>
      <c r="P150" s="72">
        <f>O150/C150</f>
        <v>0.86821705426356588</v>
      </c>
      <c r="Q150" s="6"/>
    </row>
    <row r="151" spans="1:17" ht="11.25" customHeight="1" outlineLevel="1" x14ac:dyDescent="0.4">
      <c r="A151" s="244" t="s">
        <v>248</v>
      </c>
      <c r="B151" s="249" t="s">
        <v>300</v>
      </c>
      <c r="C151" s="450"/>
      <c r="D151" s="451"/>
      <c r="E151" s="452"/>
      <c r="F151" s="452"/>
      <c r="G151" s="452"/>
      <c r="H151" s="452"/>
      <c r="I151" s="452"/>
      <c r="J151" s="452"/>
      <c r="K151" s="452"/>
      <c r="L151" s="452"/>
      <c r="M151" s="453"/>
      <c r="N151" s="454"/>
      <c r="O151" s="454"/>
      <c r="P151" s="253"/>
      <c r="Q151" s="6"/>
    </row>
    <row r="152" spans="1:17" ht="11.25" customHeight="1" outlineLevel="1" x14ac:dyDescent="0.4">
      <c r="A152" s="249" t="s">
        <v>257</v>
      </c>
      <c r="B152" s="249" t="s">
        <v>301</v>
      </c>
      <c r="C152" s="450"/>
      <c r="D152" s="450"/>
      <c r="E152" s="454"/>
      <c r="F152" s="454"/>
      <c r="G152" s="454"/>
      <c r="H152" s="454"/>
      <c r="I152" s="454"/>
      <c r="J152" s="454"/>
      <c r="K152" s="454"/>
      <c r="L152" s="454"/>
      <c r="M152" s="455"/>
      <c r="N152" s="454"/>
      <c r="O152" s="454"/>
      <c r="P152" s="253"/>
      <c r="Q152" s="6"/>
    </row>
    <row r="153" spans="1:17" ht="11.25" customHeight="1" outlineLevel="1" x14ac:dyDescent="0.4">
      <c r="A153" s="249"/>
      <c r="B153" s="249" t="s">
        <v>303</v>
      </c>
      <c r="C153" s="249"/>
      <c r="D153" s="250"/>
      <c r="E153" s="251"/>
      <c r="F153" s="251"/>
      <c r="G153" s="251"/>
      <c r="H153" s="251"/>
      <c r="I153" s="251"/>
      <c r="J153" s="251"/>
      <c r="K153" s="251"/>
      <c r="L153" s="251"/>
      <c r="M153" s="252"/>
      <c r="N153" s="250"/>
      <c r="O153" s="251"/>
      <c r="P153" s="253"/>
      <c r="Q153" s="6"/>
    </row>
    <row r="154" spans="1:17" ht="11.25" customHeight="1" outlineLevel="1" x14ac:dyDescent="0.4">
      <c r="A154" s="249"/>
      <c r="B154" s="249" t="s">
        <v>307</v>
      </c>
      <c r="C154" s="249"/>
      <c r="D154" s="250"/>
      <c r="E154" s="251"/>
      <c r="F154" s="251"/>
      <c r="G154" s="251"/>
      <c r="H154" s="251"/>
      <c r="I154" s="251"/>
      <c r="J154" s="251"/>
      <c r="K154" s="251"/>
      <c r="L154" s="251"/>
      <c r="M154" s="252"/>
      <c r="N154" s="250"/>
      <c r="O154" s="251"/>
      <c r="P154" s="253"/>
      <c r="Q154" s="6"/>
    </row>
    <row r="155" spans="1:17" ht="11.25" customHeight="1" outlineLevel="1" x14ac:dyDescent="0.4">
      <c r="A155" s="249"/>
      <c r="B155" s="249" t="s">
        <v>308</v>
      </c>
      <c r="C155" s="450"/>
      <c r="D155" s="450"/>
      <c r="E155" s="454"/>
      <c r="F155" s="454"/>
      <c r="G155" s="454"/>
      <c r="H155" s="454"/>
      <c r="I155" s="454"/>
      <c r="J155" s="454"/>
      <c r="K155" s="454"/>
      <c r="L155" s="454"/>
      <c r="M155" s="455"/>
      <c r="N155" s="454"/>
      <c r="O155" s="454"/>
      <c r="P155" s="253"/>
      <c r="Q155" s="6"/>
    </row>
    <row r="156" spans="1:17" ht="11.25" customHeight="1" outlineLevel="1" x14ac:dyDescent="0.4">
      <c r="A156" s="249"/>
      <c r="B156" s="249" t="s">
        <v>309</v>
      </c>
      <c r="C156" s="450"/>
      <c r="D156" s="450"/>
      <c r="E156" s="454"/>
      <c r="F156" s="454"/>
      <c r="G156" s="454"/>
      <c r="H156" s="454"/>
      <c r="I156" s="454"/>
      <c r="J156" s="454"/>
      <c r="K156" s="454"/>
      <c r="L156" s="454"/>
      <c r="M156" s="455"/>
      <c r="N156" s="454"/>
      <c r="O156" s="454"/>
      <c r="P156" s="253"/>
      <c r="Q156" s="6"/>
    </row>
    <row r="157" spans="1:17" ht="11.25" customHeight="1" outlineLevel="1" x14ac:dyDescent="0.4">
      <c r="A157" s="249"/>
      <c r="B157" s="249" t="s">
        <v>310</v>
      </c>
      <c r="C157" s="450"/>
      <c r="D157" s="450"/>
      <c r="E157" s="454"/>
      <c r="F157" s="454"/>
      <c r="G157" s="454"/>
      <c r="H157" s="454"/>
      <c r="I157" s="454"/>
      <c r="J157" s="454"/>
      <c r="K157" s="454"/>
      <c r="L157" s="454"/>
      <c r="M157" s="455"/>
      <c r="N157" s="454"/>
      <c r="O157" s="454"/>
      <c r="P157" s="253"/>
      <c r="Q157" s="6"/>
    </row>
    <row r="158" spans="1:17" ht="11.25" customHeight="1" outlineLevel="1" x14ac:dyDescent="0.4">
      <c r="A158" s="249"/>
      <c r="B158" s="249" t="s">
        <v>311</v>
      </c>
      <c r="C158" s="249"/>
      <c r="D158" s="250"/>
      <c r="E158" s="251"/>
      <c r="F158" s="251"/>
      <c r="G158" s="251"/>
      <c r="H158" s="251"/>
      <c r="I158" s="251"/>
      <c r="J158" s="251"/>
      <c r="K158" s="251"/>
      <c r="L158" s="251"/>
      <c r="M158" s="252"/>
      <c r="N158" s="250"/>
      <c r="O158" s="251"/>
      <c r="P158" s="253"/>
      <c r="Q158" s="6"/>
    </row>
    <row r="159" spans="1:17" ht="11.25" customHeight="1" outlineLevel="1" x14ac:dyDescent="0.4">
      <c r="A159" s="249"/>
      <c r="B159" s="249" t="s">
        <v>312</v>
      </c>
      <c r="C159" s="249"/>
      <c r="D159" s="250"/>
      <c r="E159" s="251"/>
      <c r="F159" s="251"/>
      <c r="G159" s="251"/>
      <c r="H159" s="251"/>
      <c r="I159" s="251"/>
      <c r="J159" s="251"/>
      <c r="K159" s="251"/>
      <c r="L159" s="251"/>
      <c r="M159" s="252"/>
      <c r="N159" s="250"/>
      <c r="O159" s="251"/>
      <c r="P159" s="253"/>
      <c r="Q159" s="6"/>
    </row>
    <row r="160" spans="1:17" ht="11.25" customHeight="1" outlineLevel="1" x14ac:dyDescent="0.4">
      <c r="A160" s="249"/>
      <c r="B160" s="249" t="s">
        <v>313</v>
      </c>
      <c r="C160" s="249"/>
      <c r="D160" s="250"/>
      <c r="E160" s="251"/>
      <c r="F160" s="251"/>
      <c r="G160" s="251"/>
      <c r="H160" s="251"/>
      <c r="I160" s="251"/>
      <c r="J160" s="251"/>
      <c r="K160" s="251"/>
      <c r="L160" s="251"/>
      <c r="M160" s="252"/>
      <c r="N160" s="250"/>
      <c r="O160" s="251"/>
      <c r="P160" s="253"/>
      <c r="Q160" s="6"/>
    </row>
    <row r="161" spans="1:17" ht="11.25" customHeight="1" x14ac:dyDescent="0.4">
      <c r="A161" s="256"/>
      <c r="B161" s="141" t="s">
        <v>314</v>
      </c>
      <c r="C161" s="241"/>
      <c r="D161" s="241"/>
      <c r="E161" s="242"/>
      <c r="F161" s="242"/>
      <c r="G161" s="242"/>
      <c r="H161" s="242"/>
      <c r="I161" s="242"/>
      <c r="J161" s="242"/>
      <c r="K161" s="242"/>
      <c r="L161" s="242"/>
      <c r="M161" s="243"/>
      <c r="N161" s="242"/>
      <c r="O161" s="242"/>
      <c r="P161" s="145"/>
      <c r="Q161" s="6"/>
    </row>
    <row r="162" spans="1:17" ht="11.25" customHeigh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ht="11.25" customHeigh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15.75" customHeight="1" x14ac:dyDescent="0.4"/>
    <row r="165" spans="1:17" ht="15.75" customHeight="1" x14ac:dyDescent="0.4"/>
    <row r="166" spans="1:17" ht="15.75" customHeight="1" x14ac:dyDescent="0.4"/>
    <row r="167" spans="1:17" ht="15.75" customHeight="1" x14ac:dyDescent="0.4"/>
    <row r="168" spans="1:17" ht="15.75" customHeight="1" x14ac:dyDescent="0.4"/>
    <row r="169" spans="1:17" ht="15.75" customHeight="1" x14ac:dyDescent="0.4"/>
    <row r="170" spans="1:17" ht="15.75" customHeight="1" x14ac:dyDescent="0.4"/>
    <row r="171" spans="1:17" ht="15.75" customHeight="1" x14ac:dyDescent="0.4"/>
    <row r="172" spans="1:17" ht="15.75" customHeight="1" x14ac:dyDescent="0.4"/>
    <row r="173" spans="1:17" ht="15.75" customHeight="1" x14ac:dyDescent="0.4"/>
    <row r="174" spans="1:17" ht="15.75" customHeight="1" x14ac:dyDescent="0.4"/>
    <row r="175" spans="1:17" ht="15.75" customHeight="1" x14ac:dyDescent="0.4"/>
    <row r="176" spans="1:17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  <row r="1002" ht="15.75" customHeight="1" x14ac:dyDescent="0.4"/>
    <row r="1003" ht="15.75" customHeight="1" x14ac:dyDescent="0.4"/>
    <row r="1004" ht="15.75" customHeight="1" x14ac:dyDescent="0.4"/>
    <row r="1005" ht="15.75" customHeight="1" x14ac:dyDescent="0.4"/>
    <row r="1006" ht="15.75" customHeight="1" x14ac:dyDescent="0.4"/>
    <row r="1007" ht="15.75" customHeight="1" x14ac:dyDescent="0.4"/>
    <row r="1008" ht="15.75" customHeight="1" x14ac:dyDescent="0.4"/>
    <row r="1009" ht="15.75" customHeight="1" x14ac:dyDescent="0.4"/>
    <row r="1010" ht="15.75" customHeight="1" x14ac:dyDescent="0.4"/>
    <row r="1011" ht="15.75" customHeight="1" x14ac:dyDescent="0.4"/>
    <row r="1012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4" manualBreakCount="4">
    <brk id="40" man="1"/>
    <brk id="73" man="1"/>
    <brk id="106" man="1"/>
    <brk id="13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00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 x14ac:dyDescent="0.4"/>
  <cols>
    <col min="1" max="2" width="13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9" ht="14.25" customHeight="1" x14ac:dyDescent="0.4">
      <c r="A1" s="532" t="str">
        <f>'By Lot - West Campus'!C1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</row>
    <row r="2" spans="1:19" ht="14.25" customHeight="1" x14ac:dyDescent="0.4">
      <c r="A2" s="532" t="s">
        <v>554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</row>
    <row r="3" spans="1:19" ht="11.25" customHeight="1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</row>
    <row r="4" spans="1:19" ht="11.25" customHeight="1" x14ac:dyDescent="0.4">
      <c r="A4" s="42" t="s">
        <v>239</v>
      </c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</row>
    <row r="5" spans="1:19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</row>
    <row r="6" spans="1:19" ht="11.25" customHeight="1" x14ac:dyDescent="0.4">
      <c r="A6" s="50"/>
      <c r="B6" s="50"/>
      <c r="C6" s="50"/>
      <c r="D6" s="51" t="s">
        <v>298</v>
      </c>
      <c r="E6" s="52" t="s">
        <v>298</v>
      </c>
      <c r="F6" s="52" t="s">
        <v>298</v>
      </c>
      <c r="G6" s="52" t="s">
        <v>298</v>
      </c>
      <c r="H6" s="52" t="s">
        <v>299</v>
      </c>
      <c r="I6" s="52" t="s">
        <v>299</v>
      </c>
      <c r="J6" s="52" t="s">
        <v>299</v>
      </c>
      <c r="K6" s="52" t="s">
        <v>299</v>
      </c>
      <c r="L6" s="52" t="s">
        <v>299</v>
      </c>
      <c r="M6" s="53" t="s">
        <v>299</v>
      </c>
      <c r="N6" s="51" t="s">
        <v>284</v>
      </c>
      <c r="O6" s="52" t="s">
        <v>284</v>
      </c>
      <c r="P6" s="53" t="s">
        <v>296</v>
      </c>
      <c r="Q6" s="6"/>
    </row>
    <row r="7" spans="1:19" ht="11.25" customHeight="1" x14ac:dyDescent="0.4">
      <c r="A7" s="17" t="s">
        <v>30</v>
      </c>
      <c r="B7" s="32" t="s">
        <v>300</v>
      </c>
      <c r="C7" s="15">
        <f t="shared" ref="C7:M7" si="0">C71</f>
        <v>156</v>
      </c>
      <c r="D7" s="108">
        <f t="shared" si="0"/>
        <v>102</v>
      </c>
      <c r="E7" s="108">
        <f t="shared" si="0"/>
        <v>0</v>
      </c>
      <c r="F7" s="108">
        <f t="shared" si="0"/>
        <v>0</v>
      </c>
      <c r="G7" s="108">
        <f t="shared" si="0"/>
        <v>0</v>
      </c>
      <c r="H7" s="108">
        <f t="shared" si="0"/>
        <v>0</v>
      </c>
      <c r="I7" s="108">
        <f t="shared" si="0"/>
        <v>2</v>
      </c>
      <c r="J7" s="108">
        <f t="shared" si="0"/>
        <v>3</v>
      </c>
      <c r="K7" s="108">
        <f t="shared" si="0"/>
        <v>18</v>
      </c>
      <c r="L7" s="108">
        <f t="shared" si="0"/>
        <v>40</v>
      </c>
      <c r="M7" s="109">
        <f t="shared" si="0"/>
        <v>69</v>
      </c>
      <c r="N7" s="6">
        <f t="shared" ref="N7:N15" si="1">MIN(D7:M7)</f>
        <v>0</v>
      </c>
      <c r="O7" s="6">
        <f t="shared" ref="O7:O15" si="2">C7-N7</f>
        <v>156</v>
      </c>
      <c r="P7" s="59">
        <f t="shared" ref="P7:P15" si="3">O7/C7</f>
        <v>1</v>
      </c>
      <c r="Q7" s="6"/>
    </row>
    <row r="8" spans="1:19" ht="11.25" customHeight="1" x14ac:dyDescent="0.4">
      <c r="A8" s="17" t="s">
        <v>545</v>
      </c>
      <c r="B8" s="32" t="s">
        <v>301</v>
      </c>
      <c r="C8" s="17">
        <f t="shared" ref="C8:M8" si="4">SUM(C55,C72,C89)</f>
        <v>524</v>
      </c>
      <c r="D8" s="6">
        <f t="shared" si="4"/>
        <v>117</v>
      </c>
      <c r="E8" s="6">
        <f t="shared" si="4"/>
        <v>1</v>
      </c>
      <c r="F8" s="6">
        <f t="shared" si="4"/>
        <v>0</v>
      </c>
      <c r="G8" s="6">
        <f t="shared" si="4"/>
        <v>0</v>
      </c>
      <c r="H8" s="6">
        <f t="shared" si="4"/>
        <v>0</v>
      </c>
      <c r="I8" s="6">
        <f t="shared" si="4"/>
        <v>0</v>
      </c>
      <c r="J8" s="6">
        <f t="shared" si="4"/>
        <v>2</v>
      </c>
      <c r="K8" s="6">
        <f t="shared" si="4"/>
        <v>47</v>
      </c>
      <c r="L8" s="6">
        <f t="shared" si="4"/>
        <v>152</v>
      </c>
      <c r="M8" s="31">
        <f t="shared" si="4"/>
        <v>326</v>
      </c>
      <c r="N8" s="6">
        <f t="shared" si="1"/>
        <v>0</v>
      </c>
      <c r="O8" s="6">
        <f t="shared" si="2"/>
        <v>524</v>
      </c>
      <c r="P8" s="59">
        <f t="shared" si="3"/>
        <v>1</v>
      </c>
      <c r="Q8" s="6"/>
    </row>
    <row r="9" spans="1:19" ht="11.25" customHeight="1" x14ac:dyDescent="0.4">
      <c r="A9" s="17"/>
      <c r="B9" s="32" t="s">
        <v>303</v>
      </c>
      <c r="C9" s="17">
        <f t="shared" ref="C9:M9" si="5">SUM(C22,C39)</f>
        <v>428</v>
      </c>
      <c r="D9" s="6">
        <f t="shared" si="5"/>
        <v>75</v>
      </c>
      <c r="E9" s="6">
        <f t="shared" si="5"/>
        <v>2</v>
      </c>
      <c r="F9" s="6">
        <f t="shared" si="5"/>
        <v>0</v>
      </c>
      <c r="G9" s="6">
        <f t="shared" si="5"/>
        <v>0</v>
      </c>
      <c r="H9" s="6">
        <f t="shared" si="5"/>
        <v>0</v>
      </c>
      <c r="I9" s="6">
        <f t="shared" si="5"/>
        <v>0</v>
      </c>
      <c r="J9" s="6">
        <f t="shared" si="5"/>
        <v>0</v>
      </c>
      <c r="K9" s="6">
        <f t="shared" si="5"/>
        <v>13</v>
      </c>
      <c r="L9" s="6">
        <f t="shared" si="5"/>
        <v>32</v>
      </c>
      <c r="M9" s="31">
        <f t="shared" si="5"/>
        <v>52</v>
      </c>
      <c r="N9" s="6">
        <f t="shared" si="1"/>
        <v>0</v>
      </c>
      <c r="O9" s="6">
        <f t="shared" si="2"/>
        <v>428</v>
      </c>
      <c r="P9" s="59">
        <f t="shared" si="3"/>
        <v>1</v>
      </c>
      <c r="Q9" s="6"/>
      <c r="S9" s="456"/>
    </row>
    <row r="10" spans="1:19" ht="11.25" customHeight="1" x14ac:dyDescent="0.4">
      <c r="A10" s="17" t="s">
        <v>546</v>
      </c>
      <c r="B10" s="32" t="s">
        <v>307</v>
      </c>
      <c r="C10" s="17">
        <f t="shared" ref="C10:M10" si="6">C57</f>
        <v>46</v>
      </c>
      <c r="D10" s="6">
        <f t="shared" si="6"/>
        <v>30</v>
      </c>
      <c r="E10" s="6">
        <f t="shared" si="6"/>
        <v>20</v>
      </c>
      <c r="F10" s="6">
        <f t="shared" si="6"/>
        <v>20</v>
      </c>
      <c r="G10" s="6">
        <f t="shared" si="6"/>
        <v>18</v>
      </c>
      <c r="H10" s="6">
        <f t="shared" si="6"/>
        <v>12</v>
      </c>
      <c r="I10" s="6">
        <f t="shared" si="6"/>
        <v>3</v>
      </c>
      <c r="J10" s="6">
        <f t="shared" si="6"/>
        <v>3</v>
      </c>
      <c r="K10" s="6">
        <f t="shared" si="6"/>
        <v>3</v>
      </c>
      <c r="L10" s="6">
        <f t="shared" si="6"/>
        <v>15</v>
      </c>
      <c r="M10" s="31">
        <f t="shared" si="6"/>
        <v>22</v>
      </c>
      <c r="N10" s="6">
        <f t="shared" si="1"/>
        <v>3</v>
      </c>
      <c r="O10" s="6">
        <f t="shared" si="2"/>
        <v>43</v>
      </c>
      <c r="P10" s="59">
        <f t="shared" si="3"/>
        <v>0.93478260869565222</v>
      </c>
      <c r="Q10" s="6"/>
      <c r="R10" s="456"/>
      <c r="S10" s="456"/>
    </row>
    <row r="11" spans="1:19" ht="11.25" customHeight="1" x14ac:dyDescent="0.4">
      <c r="A11" s="17"/>
      <c r="B11" s="32" t="s">
        <v>308</v>
      </c>
      <c r="C11" s="17">
        <f t="shared" ref="C11:M11" si="7">C59</f>
        <v>7</v>
      </c>
      <c r="D11" s="6">
        <f t="shared" si="7"/>
        <v>1</v>
      </c>
      <c r="E11" s="6">
        <f t="shared" si="7"/>
        <v>1</v>
      </c>
      <c r="F11" s="6">
        <f t="shared" si="7"/>
        <v>1</v>
      </c>
      <c r="G11" s="6">
        <f t="shared" si="7"/>
        <v>0</v>
      </c>
      <c r="H11" s="6">
        <f t="shared" si="7"/>
        <v>0</v>
      </c>
      <c r="I11" s="6">
        <f t="shared" si="7"/>
        <v>0</v>
      </c>
      <c r="J11" s="6">
        <f t="shared" si="7"/>
        <v>1</v>
      </c>
      <c r="K11" s="6">
        <f t="shared" si="7"/>
        <v>1</v>
      </c>
      <c r="L11" s="6">
        <f t="shared" si="7"/>
        <v>2</v>
      </c>
      <c r="M11" s="31">
        <f t="shared" si="7"/>
        <v>3</v>
      </c>
      <c r="N11" s="6">
        <f t="shared" si="1"/>
        <v>0</v>
      </c>
      <c r="O11" s="6">
        <f t="shared" si="2"/>
        <v>7</v>
      </c>
      <c r="P11" s="59">
        <f t="shared" si="3"/>
        <v>1</v>
      </c>
      <c r="Q11" s="6"/>
    </row>
    <row r="12" spans="1:19" ht="11.25" customHeight="1" x14ac:dyDescent="0.4">
      <c r="A12" s="17"/>
      <c r="B12" s="32" t="s">
        <v>309</v>
      </c>
      <c r="C12" s="17">
        <f t="shared" ref="C12:M12" si="8">SUM(C26,C43:C44,C60:C62,C77,C94)</f>
        <v>106</v>
      </c>
      <c r="D12" s="6">
        <f t="shared" si="8"/>
        <v>55</v>
      </c>
      <c r="E12" s="6">
        <f t="shared" si="8"/>
        <v>15</v>
      </c>
      <c r="F12" s="6">
        <f t="shared" si="8"/>
        <v>0</v>
      </c>
      <c r="G12" s="6">
        <f t="shared" si="8"/>
        <v>0</v>
      </c>
      <c r="H12" s="6">
        <f t="shared" si="8"/>
        <v>0</v>
      </c>
      <c r="I12" s="6">
        <f t="shared" si="8"/>
        <v>2</v>
      </c>
      <c r="J12" s="6">
        <f t="shared" si="8"/>
        <v>7</v>
      </c>
      <c r="K12" s="6">
        <f t="shared" si="8"/>
        <v>13</v>
      </c>
      <c r="L12" s="6">
        <f t="shared" si="8"/>
        <v>24</v>
      </c>
      <c r="M12" s="31">
        <f t="shared" si="8"/>
        <v>42</v>
      </c>
      <c r="N12" s="6">
        <f t="shared" si="1"/>
        <v>0</v>
      </c>
      <c r="O12" s="6">
        <f t="shared" si="2"/>
        <v>106</v>
      </c>
      <c r="P12" s="59">
        <f t="shared" si="3"/>
        <v>1</v>
      </c>
      <c r="Q12" s="6"/>
    </row>
    <row r="13" spans="1:19" ht="11.25" customHeight="1" x14ac:dyDescent="0.4">
      <c r="A13" s="17"/>
      <c r="B13" s="32" t="s">
        <v>310</v>
      </c>
      <c r="C13" s="17">
        <f t="shared" ref="C13:M13" si="9">SUM(C32,C49,C66,C83,C100)</f>
        <v>24</v>
      </c>
      <c r="D13" s="6">
        <f t="shared" si="9"/>
        <v>21</v>
      </c>
      <c r="E13" s="6">
        <f t="shared" si="9"/>
        <v>18</v>
      </c>
      <c r="F13" s="6">
        <f t="shared" si="9"/>
        <v>11</v>
      </c>
      <c r="G13" s="6">
        <f t="shared" si="9"/>
        <v>11</v>
      </c>
      <c r="H13" s="6">
        <f t="shared" si="9"/>
        <v>11</v>
      </c>
      <c r="I13" s="6">
        <f t="shared" si="9"/>
        <v>11</v>
      </c>
      <c r="J13" s="6">
        <f t="shared" si="9"/>
        <v>12</v>
      </c>
      <c r="K13" s="6">
        <f t="shared" si="9"/>
        <v>13</v>
      </c>
      <c r="L13" s="6">
        <f t="shared" si="9"/>
        <v>16</v>
      </c>
      <c r="M13" s="31">
        <f t="shared" si="9"/>
        <v>20</v>
      </c>
      <c r="N13" s="6">
        <f t="shared" si="1"/>
        <v>11</v>
      </c>
      <c r="O13" s="6">
        <f t="shared" si="2"/>
        <v>13</v>
      </c>
      <c r="P13" s="59">
        <f t="shared" si="3"/>
        <v>0.54166666666666663</v>
      </c>
      <c r="Q13" s="6"/>
    </row>
    <row r="14" spans="1:19" ht="11.25" customHeight="1" x14ac:dyDescent="0.4">
      <c r="A14" s="17"/>
      <c r="B14" s="32" t="s">
        <v>311</v>
      </c>
      <c r="C14" s="17">
        <f t="shared" ref="C14:M14" si="10">SUM(C33,C50,C67,C84,C101)</f>
        <v>13</v>
      </c>
      <c r="D14" s="6">
        <f t="shared" si="10"/>
        <v>10</v>
      </c>
      <c r="E14" s="6">
        <f t="shared" si="10"/>
        <v>11</v>
      </c>
      <c r="F14" s="6">
        <f t="shared" si="10"/>
        <v>10</v>
      </c>
      <c r="G14" s="6">
        <f t="shared" si="10"/>
        <v>9</v>
      </c>
      <c r="H14" s="6">
        <f t="shared" si="10"/>
        <v>8</v>
      </c>
      <c r="I14" s="6">
        <f t="shared" si="10"/>
        <v>9</v>
      </c>
      <c r="J14" s="6">
        <f t="shared" si="10"/>
        <v>9</v>
      </c>
      <c r="K14" s="6">
        <f t="shared" si="10"/>
        <v>8</v>
      </c>
      <c r="L14" s="6">
        <f t="shared" si="10"/>
        <v>7</v>
      </c>
      <c r="M14" s="31">
        <f t="shared" si="10"/>
        <v>8</v>
      </c>
      <c r="N14" s="6">
        <f t="shared" si="1"/>
        <v>7</v>
      </c>
      <c r="O14" s="6">
        <f t="shared" si="2"/>
        <v>6</v>
      </c>
      <c r="P14" s="59">
        <f t="shared" si="3"/>
        <v>0.46153846153846156</v>
      </c>
      <c r="Q14" s="6"/>
    </row>
    <row r="15" spans="1:19" ht="11.25" customHeight="1" x14ac:dyDescent="0.4">
      <c r="A15" s="17"/>
      <c r="B15" s="32" t="s">
        <v>312</v>
      </c>
      <c r="C15" s="17">
        <f t="shared" ref="C15:M15" si="11">C34</f>
        <v>2</v>
      </c>
      <c r="D15" s="6">
        <f t="shared" si="11"/>
        <v>1</v>
      </c>
      <c r="E15" s="6">
        <f t="shared" si="11"/>
        <v>2</v>
      </c>
      <c r="F15" s="6">
        <f t="shared" si="11"/>
        <v>2</v>
      </c>
      <c r="G15" s="6">
        <f t="shared" si="11"/>
        <v>2</v>
      </c>
      <c r="H15" s="6">
        <f t="shared" si="11"/>
        <v>1</v>
      </c>
      <c r="I15" s="6">
        <f t="shared" si="11"/>
        <v>1</v>
      </c>
      <c r="J15" s="6">
        <f t="shared" si="11"/>
        <v>1</v>
      </c>
      <c r="K15" s="6">
        <f t="shared" si="11"/>
        <v>0</v>
      </c>
      <c r="L15" s="6">
        <f t="shared" si="11"/>
        <v>0</v>
      </c>
      <c r="M15" s="31">
        <f t="shared" si="11"/>
        <v>0</v>
      </c>
      <c r="N15" s="6">
        <f t="shared" si="1"/>
        <v>0</v>
      </c>
      <c r="O15" s="6">
        <f t="shared" si="2"/>
        <v>2</v>
      </c>
      <c r="P15" s="59">
        <f t="shared" si="3"/>
        <v>1</v>
      </c>
      <c r="Q15" s="6"/>
    </row>
    <row r="16" spans="1:19" ht="11.25" customHeight="1" x14ac:dyDescent="0.4">
      <c r="A16" s="17"/>
      <c r="B16" s="32" t="s">
        <v>313</v>
      </c>
      <c r="C16" s="34"/>
      <c r="D16" s="6"/>
      <c r="E16" s="6"/>
      <c r="F16" s="6"/>
      <c r="G16" s="6"/>
      <c r="H16" s="6"/>
      <c r="I16" s="6"/>
      <c r="J16" s="6"/>
      <c r="K16" s="6"/>
      <c r="L16" s="6"/>
      <c r="M16" s="31"/>
      <c r="N16" s="6"/>
      <c r="O16" s="6"/>
      <c r="P16" s="59"/>
      <c r="Q16" s="6"/>
    </row>
    <row r="17" spans="1:17" ht="11.25" customHeight="1" x14ac:dyDescent="0.4">
      <c r="A17" s="34"/>
      <c r="B17" s="65" t="s">
        <v>314</v>
      </c>
      <c r="C17" s="118">
        <f t="shared" ref="C17:M17" si="12">SUM(C7:C16)</f>
        <v>1306</v>
      </c>
      <c r="D17" s="104">
        <f t="shared" si="12"/>
        <v>412</v>
      </c>
      <c r="E17" s="128">
        <f t="shared" si="12"/>
        <v>70</v>
      </c>
      <c r="F17" s="128">
        <f t="shared" si="12"/>
        <v>44</v>
      </c>
      <c r="G17" s="128">
        <f t="shared" si="12"/>
        <v>40</v>
      </c>
      <c r="H17" s="128">
        <f t="shared" si="12"/>
        <v>32</v>
      </c>
      <c r="I17" s="128">
        <f t="shared" si="12"/>
        <v>28</v>
      </c>
      <c r="J17" s="128">
        <f t="shared" si="12"/>
        <v>38</v>
      </c>
      <c r="K17" s="128">
        <f t="shared" si="12"/>
        <v>116</v>
      </c>
      <c r="L17" s="128">
        <f t="shared" si="12"/>
        <v>288</v>
      </c>
      <c r="M17" s="129">
        <f t="shared" si="12"/>
        <v>542</v>
      </c>
      <c r="N17" s="128">
        <f>MIN(D17:M17)</f>
        <v>28</v>
      </c>
      <c r="O17" s="128">
        <f>C17-N17</f>
        <v>1278</v>
      </c>
      <c r="P17" s="72">
        <f>O17/C17</f>
        <v>0.97856049004594181</v>
      </c>
      <c r="Q17" s="6"/>
    </row>
    <row r="18" spans="1:17" ht="15.75" customHeight="1" x14ac:dyDescent="0.4"/>
    <row r="19" spans="1:17" ht="15.75" customHeight="1" x14ac:dyDescent="0.4">
      <c r="A19" s="540" t="s">
        <v>555</v>
      </c>
      <c r="B19" s="517"/>
      <c r="C19" s="517"/>
      <c r="D19" s="517"/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8"/>
    </row>
    <row r="20" spans="1:17" ht="11.25" customHeight="1" x14ac:dyDescent="0.4">
      <c r="A20" s="15" t="s">
        <v>199</v>
      </c>
      <c r="B20" s="15" t="s">
        <v>300</v>
      </c>
      <c r="C20" s="15">
        <f>'By Lot - West Campus'!E1767</f>
        <v>0</v>
      </c>
      <c r="D20" s="73">
        <f>'By Lot - West Campus'!F1767</f>
        <v>0</v>
      </c>
      <c r="E20" s="108">
        <f>'By Lot - West Campus'!G1767</f>
        <v>0</v>
      </c>
      <c r="F20" s="108">
        <f>'By Lot - West Campus'!H1767</f>
        <v>0</v>
      </c>
      <c r="G20" s="108">
        <f>'By Lot - West Campus'!I1767</f>
        <v>0</v>
      </c>
      <c r="H20" s="108">
        <f>'By Lot - West Campus'!J1767</f>
        <v>0</v>
      </c>
      <c r="I20" s="108">
        <f>'By Lot - West Campus'!K1767</f>
        <v>0</v>
      </c>
      <c r="J20" s="108">
        <f>'By Lot - West Campus'!L1767</f>
        <v>0</v>
      </c>
      <c r="K20" s="108">
        <f>'By Lot - West Campus'!M1767</f>
        <v>0</v>
      </c>
      <c r="L20" s="108">
        <f>'By Lot - West Campus'!N1767</f>
        <v>0</v>
      </c>
      <c r="M20" s="109">
        <f>'By Lot - West Campus'!O1767</f>
        <v>0</v>
      </c>
      <c r="N20" s="73"/>
      <c r="O20" s="108"/>
      <c r="P20" s="188"/>
    </row>
    <row r="21" spans="1:17" ht="11.25" customHeight="1" x14ac:dyDescent="0.4">
      <c r="A21" s="17"/>
      <c r="B21" s="17" t="s">
        <v>301</v>
      </c>
      <c r="C21" s="17">
        <f>'By Lot - West Campus'!E1768</f>
        <v>0</v>
      </c>
      <c r="D21" s="32">
        <f>'By Lot - West Campus'!F1768</f>
        <v>0</v>
      </c>
      <c r="E21" s="6">
        <f>'By Lot - West Campus'!G1768</f>
        <v>0</v>
      </c>
      <c r="F21" s="6">
        <f>'By Lot - West Campus'!H1768</f>
        <v>0</v>
      </c>
      <c r="G21" s="6">
        <f>'By Lot - West Campus'!I1768</f>
        <v>0</v>
      </c>
      <c r="H21" s="6">
        <f>'By Lot - West Campus'!J1768</f>
        <v>0</v>
      </c>
      <c r="I21" s="6">
        <f>'By Lot - West Campus'!K1768</f>
        <v>0</v>
      </c>
      <c r="J21" s="6">
        <f>'By Lot - West Campus'!L1768</f>
        <v>0</v>
      </c>
      <c r="K21" s="6">
        <f>'By Lot - West Campus'!M1768</f>
        <v>0</v>
      </c>
      <c r="L21" s="6">
        <f>'By Lot - West Campus'!N1768</f>
        <v>0</v>
      </c>
      <c r="M21" s="31">
        <f>'By Lot - West Campus'!O1768</f>
        <v>0</v>
      </c>
      <c r="N21" s="32"/>
      <c r="O21" s="6"/>
      <c r="P21" s="59"/>
    </row>
    <row r="22" spans="1:17" ht="11.25" customHeight="1" x14ac:dyDescent="0.4">
      <c r="A22" s="17"/>
      <c r="B22" s="17" t="s">
        <v>303</v>
      </c>
      <c r="C22" s="17">
        <f>'By Lot - West Campus'!E1769</f>
        <v>250</v>
      </c>
      <c r="D22" s="32">
        <f>'By Lot - West Campus'!F1769</f>
        <v>75</v>
      </c>
      <c r="E22" s="6">
        <f>'By Lot - West Campus'!G1769</f>
        <v>2</v>
      </c>
      <c r="F22" s="6">
        <f>'By Lot - West Campus'!H1769</f>
        <v>0</v>
      </c>
      <c r="G22" s="6">
        <f>'By Lot - West Campus'!I1769</f>
        <v>0</v>
      </c>
      <c r="H22" s="6">
        <f>'By Lot - West Campus'!J1769</f>
        <v>0</v>
      </c>
      <c r="I22" s="6">
        <f>'By Lot - West Campus'!K1769</f>
        <v>0</v>
      </c>
      <c r="J22" s="6">
        <f>'By Lot - West Campus'!L1769</f>
        <v>0</v>
      </c>
      <c r="K22" s="6">
        <f>'By Lot - West Campus'!M1769</f>
        <v>7</v>
      </c>
      <c r="L22" s="6">
        <f>'By Lot - West Campus'!N1769</f>
        <v>26</v>
      </c>
      <c r="M22" s="31">
        <f>'By Lot - West Campus'!O1769</f>
        <v>41</v>
      </c>
      <c r="N22" s="32">
        <f>MIN(D22:M22)</f>
        <v>0</v>
      </c>
      <c r="O22" s="6">
        <f>C22-N22</f>
        <v>250</v>
      </c>
      <c r="P22" s="59">
        <f>O22/C22</f>
        <v>1</v>
      </c>
    </row>
    <row r="23" spans="1:17" ht="11.25" customHeight="1" x14ac:dyDescent="0.4">
      <c r="A23" s="17"/>
      <c r="B23" s="17" t="s">
        <v>369</v>
      </c>
      <c r="C23" s="17">
        <f>'By Lot - West Campus'!E1770</f>
        <v>0</v>
      </c>
      <c r="D23" s="32">
        <f>'By Lot - West Campus'!F1770</f>
        <v>0</v>
      </c>
      <c r="E23" s="6">
        <f>'By Lot - West Campus'!G1770</f>
        <v>0</v>
      </c>
      <c r="F23" s="6">
        <f>'By Lot - West Campus'!H1770</f>
        <v>0</v>
      </c>
      <c r="G23" s="6">
        <f>'By Lot - West Campus'!I1770</f>
        <v>0</v>
      </c>
      <c r="H23" s="6">
        <f>'By Lot - West Campus'!J1770</f>
        <v>0</v>
      </c>
      <c r="I23" s="6">
        <f>'By Lot - West Campus'!K1770</f>
        <v>0</v>
      </c>
      <c r="J23" s="6">
        <f>'By Lot - West Campus'!L1770</f>
        <v>0</v>
      </c>
      <c r="K23" s="6">
        <f>'By Lot - West Campus'!M1770</f>
        <v>0</v>
      </c>
      <c r="L23" s="6">
        <f>'By Lot - West Campus'!N1770</f>
        <v>0</v>
      </c>
      <c r="M23" s="31">
        <f>'By Lot - West Campus'!O1770</f>
        <v>0</v>
      </c>
      <c r="N23" s="32"/>
      <c r="O23" s="6"/>
      <c r="P23" s="59"/>
    </row>
    <row r="24" spans="1:17" ht="11.25" customHeight="1" x14ac:dyDescent="0.4">
      <c r="A24" s="17"/>
      <c r="B24" s="17" t="s">
        <v>369</v>
      </c>
      <c r="C24" s="17">
        <f>'By Lot - West Campus'!E1771</f>
        <v>0</v>
      </c>
      <c r="D24" s="32">
        <f>'By Lot - West Campus'!F1771</f>
        <v>0</v>
      </c>
      <c r="E24" s="6">
        <f>'By Lot - West Campus'!G1771</f>
        <v>0</v>
      </c>
      <c r="F24" s="6">
        <f>'By Lot - West Campus'!H1771</f>
        <v>0</v>
      </c>
      <c r="G24" s="6">
        <f>'By Lot - West Campus'!I1771</f>
        <v>0</v>
      </c>
      <c r="H24" s="6">
        <f>'By Lot - West Campus'!J1771</f>
        <v>0</v>
      </c>
      <c r="I24" s="6">
        <f>'By Lot - West Campus'!K1771</f>
        <v>0</v>
      </c>
      <c r="J24" s="6">
        <f>'By Lot - West Campus'!L1771</f>
        <v>0</v>
      </c>
      <c r="K24" s="6">
        <f>'By Lot - West Campus'!M1771</f>
        <v>0</v>
      </c>
      <c r="L24" s="6">
        <f>'By Lot - West Campus'!N1771</f>
        <v>0</v>
      </c>
      <c r="M24" s="31">
        <f>'By Lot - West Campus'!O1771</f>
        <v>0</v>
      </c>
      <c r="N24" s="32"/>
      <c r="O24" s="6"/>
      <c r="P24" s="59"/>
    </row>
    <row r="25" spans="1:17" ht="11.25" customHeight="1" x14ac:dyDescent="0.4">
      <c r="A25" s="17"/>
      <c r="B25" s="17" t="s">
        <v>308</v>
      </c>
      <c r="C25" s="17">
        <f>'By Lot - West Campus'!E1772</f>
        <v>0</v>
      </c>
      <c r="D25" s="32">
        <f>'By Lot - West Campus'!F1772</f>
        <v>0</v>
      </c>
      <c r="E25" s="6">
        <f>'By Lot - West Campus'!G1772</f>
        <v>0</v>
      </c>
      <c r="F25" s="6">
        <f>'By Lot - West Campus'!H1772</f>
        <v>0</v>
      </c>
      <c r="G25" s="6">
        <f>'By Lot - West Campus'!I1772</f>
        <v>0</v>
      </c>
      <c r="H25" s="6">
        <f>'By Lot - West Campus'!J1772</f>
        <v>0</v>
      </c>
      <c r="I25" s="6">
        <f>'By Lot - West Campus'!K1772</f>
        <v>0</v>
      </c>
      <c r="J25" s="6">
        <f>'By Lot - West Campus'!L1772</f>
        <v>0</v>
      </c>
      <c r="K25" s="6">
        <f>'By Lot - West Campus'!M1772</f>
        <v>0</v>
      </c>
      <c r="L25" s="6">
        <f>'By Lot - West Campus'!N1772</f>
        <v>0</v>
      </c>
      <c r="M25" s="31">
        <f>'By Lot - West Campus'!O1772</f>
        <v>0</v>
      </c>
      <c r="N25" s="32"/>
      <c r="O25" s="6"/>
      <c r="P25" s="59"/>
    </row>
    <row r="26" spans="1:17" ht="11.25" customHeight="1" x14ac:dyDescent="0.4">
      <c r="A26" s="17"/>
      <c r="B26" s="17" t="s">
        <v>372</v>
      </c>
      <c r="C26" s="17">
        <f>'By Lot - West Campus'!E1773</f>
        <v>8</v>
      </c>
      <c r="D26" s="32">
        <f>'By Lot - West Campus'!F1773</f>
        <v>7</v>
      </c>
      <c r="E26" s="6">
        <f>'By Lot - West Campus'!G1773</f>
        <v>6</v>
      </c>
      <c r="F26" s="6">
        <f>'By Lot - West Campus'!H1773</f>
        <v>0</v>
      </c>
      <c r="G26" s="6">
        <f>'By Lot - West Campus'!I1773</f>
        <v>0</v>
      </c>
      <c r="H26" s="6">
        <f>'By Lot - West Campus'!J1773</f>
        <v>0</v>
      </c>
      <c r="I26" s="6">
        <f>'By Lot - West Campus'!K1773</f>
        <v>1</v>
      </c>
      <c r="J26" s="6">
        <f>'By Lot - West Campus'!L1773</f>
        <v>2</v>
      </c>
      <c r="K26" s="6">
        <f>'By Lot - West Campus'!M1773</f>
        <v>1</v>
      </c>
      <c r="L26" s="6">
        <f>'By Lot - West Campus'!N1773</f>
        <v>1</v>
      </c>
      <c r="M26" s="31">
        <f>'By Lot - West Campus'!O1773</f>
        <v>5</v>
      </c>
      <c r="N26" s="32">
        <f>MIN(D26:M26)</f>
        <v>0</v>
      </c>
      <c r="O26" s="6">
        <f>C26-N26</f>
        <v>8</v>
      </c>
      <c r="P26" s="59">
        <f>O26/C26</f>
        <v>1</v>
      </c>
    </row>
    <row r="27" spans="1:17" ht="11.25" customHeight="1" x14ac:dyDescent="0.4">
      <c r="A27" s="17"/>
      <c r="B27" s="17" t="s">
        <v>374</v>
      </c>
      <c r="C27" s="17">
        <f>'By Lot - West Campus'!E1774</f>
        <v>0</v>
      </c>
      <c r="D27" s="32">
        <f>'By Lot - West Campus'!F1774</f>
        <v>0</v>
      </c>
      <c r="E27" s="6">
        <f>'By Lot - West Campus'!G1774</f>
        <v>0</v>
      </c>
      <c r="F27" s="6">
        <f>'By Lot - West Campus'!H1774</f>
        <v>0</v>
      </c>
      <c r="G27" s="6">
        <f>'By Lot - West Campus'!I1774</f>
        <v>0</v>
      </c>
      <c r="H27" s="6">
        <f>'By Lot - West Campus'!J1774</f>
        <v>0</v>
      </c>
      <c r="I27" s="6">
        <f>'By Lot - West Campus'!K1774</f>
        <v>0</v>
      </c>
      <c r="J27" s="6">
        <f>'By Lot - West Campus'!L1774</f>
        <v>0</v>
      </c>
      <c r="K27" s="6">
        <f>'By Lot - West Campus'!M1774</f>
        <v>0</v>
      </c>
      <c r="L27" s="6">
        <f>'By Lot - West Campus'!N1774</f>
        <v>0</v>
      </c>
      <c r="M27" s="31">
        <f>'By Lot - West Campus'!O1774</f>
        <v>0</v>
      </c>
      <c r="N27" s="32"/>
      <c r="O27" s="6"/>
      <c r="P27" s="59"/>
    </row>
    <row r="28" spans="1:17" ht="11.25" customHeight="1" x14ac:dyDescent="0.4">
      <c r="A28" s="17"/>
      <c r="B28" s="17" t="s">
        <v>374</v>
      </c>
      <c r="C28" s="17">
        <f>'By Lot - West Campus'!E1775</f>
        <v>0</v>
      </c>
      <c r="D28" s="32">
        <f>'By Lot - West Campus'!F1775</f>
        <v>0</v>
      </c>
      <c r="E28" s="6">
        <f>'By Lot - West Campus'!G1775</f>
        <v>0</v>
      </c>
      <c r="F28" s="6">
        <f>'By Lot - West Campus'!H1775</f>
        <v>0</v>
      </c>
      <c r="G28" s="6">
        <f>'By Lot - West Campus'!I1775</f>
        <v>0</v>
      </c>
      <c r="H28" s="6">
        <f>'By Lot - West Campus'!J1775</f>
        <v>0</v>
      </c>
      <c r="I28" s="6">
        <f>'By Lot - West Campus'!K1775</f>
        <v>0</v>
      </c>
      <c r="J28" s="6">
        <f>'By Lot - West Campus'!L1775</f>
        <v>0</v>
      </c>
      <c r="K28" s="6">
        <f>'By Lot - West Campus'!M1775</f>
        <v>0</v>
      </c>
      <c r="L28" s="6">
        <f>'By Lot - West Campus'!N1775</f>
        <v>0</v>
      </c>
      <c r="M28" s="31">
        <f>'By Lot - West Campus'!O1775</f>
        <v>0</v>
      </c>
      <c r="N28" s="32"/>
      <c r="O28" s="6"/>
      <c r="P28" s="59"/>
    </row>
    <row r="29" spans="1:17" ht="11.25" customHeight="1" x14ac:dyDescent="0.4">
      <c r="A29" s="17"/>
      <c r="B29" s="17" t="s">
        <v>374</v>
      </c>
      <c r="C29" s="17">
        <f>'By Lot - West Campus'!E1776</f>
        <v>0</v>
      </c>
      <c r="D29" s="32">
        <f>'By Lot - West Campus'!F1776</f>
        <v>0</v>
      </c>
      <c r="E29" s="6">
        <f>'By Lot - West Campus'!G1776</f>
        <v>0</v>
      </c>
      <c r="F29" s="6">
        <f>'By Lot - West Campus'!H1776</f>
        <v>0</v>
      </c>
      <c r="G29" s="6">
        <f>'By Lot - West Campus'!I1776</f>
        <v>0</v>
      </c>
      <c r="H29" s="6">
        <f>'By Lot - West Campus'!J1776</f>
        <v>0</v>
      </c>
      <c r="I29" s="6">
        <f>'By Lot - West Campus'!K1776</f>
        <v>0</v>
      </c>
      <c r="J29" s="6">
        <f>'By Lot - West Campus'!L1776</f>
        <v>0</v>
      </c>
      <c r="K29" s="6">
        <f>'By Lot - West Campus'!M1776</f>
        <v>0</v>
      </c>
      <c r="L29" s="6">
        <f>'By Lot - West Campus'!N1776</f>
        <v>0</v>
      </c>
      <c r="M29" s="31">
        <f>'By Lot - West Campus'!O1776</f>
        <v>0</v>
      </c>
      <c r="N29" s="32"/>
      <c r="O29" s="6"/>
      <c r="P29" s="59"/>
    </row>
    <row r="30" spans="1:17" ht="11.25" customHeight="1" x14ac:dyDescent="0.4">
      <c r="A30" s="17"/>
      <c r="B30" s="17" t="s">
        <v>374</v>
      </c>
      <c r="C30" s="17">
        <f>'By Lot - West Campus'!E1777</f>
        <v>0</v>
      </c>
      <c r="D30" s="32">
        <f>'By Lot - West Campus'!F1777</f>
        <v>0</v>
      </c>
      <c r="E30" s="6">
        <f>'By Lot - West Campus'!G1777</f>
        <v>0</v>
      </c>
      <c r="F30" s="6">
        <f>'By Lot - West Campus'!H1777</f>
        <v>0</v>
      </c>
      <c r="G30" s="6">
        <f>'By Lot - West Campus'!I1777</f>
        <v>0</v>
      </c>
      <c r="H30" s="6">
        <f>'By Lot - West Campus'!J1777</f>
        <v>0</v>
      </c>
      <c r="I30" s="6">
        <f>'By Lot - West Campus'!K1777</f>
        <v>0</v>
      </c>
      <c r="J30" s="6">
        <f>'By Lot - West Campus'!L1777</f>
        <v>0</v>
      </c>
      <c r="K30" s="6">
        <f>'By Lot - West Campus'!M1777</f>
        <v>0</v>
      </c>
      <c r="L30" s="6">
        <f>'By Lot - West Campus'!N1777</f>
        <v>0</v>
      </c>
      <c r="M30" s="31">
        <f>'By Lot - West Campus'!O1777</f>
        <v>0</v>
      </c>
      <c r="N30" s="32"/>
      <c r="O30" s="6"/>
      <c r="P30" s="59"/>
    </row>
    <row r="31" spans="1:17" ht="11.25" customHeight="1" x14ac:dyDescent="0.4">
      <c r="A31" s="17"/>
      <c r="B31" s="17" t="s">
        <v>374</v>
      </c>
      <c r="C31" s="17">
        <f>'By Lot - West Campus'!E1778</f>
        <v>0</v>
      </c>
      <c r="D31" s="32">
        <f>'By Lot - West Campus'!F1778</f>
        <v>0</v>
      </c>
      <c r="E31" s="6">
        <f>'By Lot - West Campus'!G1778</f>
        <v>0</v>
      </c>
      <c r="F31" s="6">
        <f>'By Lot - West Campus'!H1778</f>
        <v>0</v>
      </c>
      <c r="G31" s="6">
        <f>'By Lot - West Campus'!I1778</f>
        <v>0</v>
      </c>
      <c r="H31" s="6">
        <f>'By Lot - West Campus'!J1778</f>
        <v>0</v>
      </c>
      <c r="I31" s="6">
        <f>'By Lot - West Campus'!K1778</f>
        <v>0</v>
      </c>
      <c r="J31" s="6">
        <f>'By Lot - West Campus'!L1778</f>
        <v>0</v>
      </c>
      <c r="K31" s="6">
        <f>'By Lot - West Campus'!M1778</f>
        <v>0</v>
      </c>
      <c r="L31" s="6">
        <f>'By Lot - West Campus'!N1778</f>
        <v>0</v>
      </c>
      <c r="M31" s="31">
        <f>'By Lot - West Campus'!O1778</f>
        <v>0</v>
      </c>
      <c r="N31" s="32"/>
      <c r="O31" s="6"/>
      <c r="P31" s="59"/>
    </row>
    <row r="32" spans="1:17" ht="11.25" customHeight="1" x14ac:dyDescent="0.4">
      <c r="A32" s="17"/>
      <c r="B32" s="17" t="s">
        <v>310</v>
      </c>
      <c r="C32" s="17">
        <f>'By Lot - West Campus'!E1779</f>
        <v>1</v>
      </c>
      <c r="D32" s="32">
        <f>'By Lot - West Campus'!F1779</f>
        <v>1</v>
      </c>
      <c r="E32" s="6">
        <f>'By Lot - West Campus'!G1779</f>
        <v>1</v>
      </c>
      <c r="F32" s="6">
        <f>'By Lot - West Campus'!H1779</f>
        <v>1</v>
      </c>
      <c r="G32" s="6">
        <f>'By Lot - West Campus'!I1779</f>
        <v>1</v>
      </c>
      <c r="H32" s="6">
        <f>'By Lot - West Campus'!J1779</f>
        <v>1</v>
      </c>
      <c r="I32" s="6">
        <f>'By Lot - West Campus'!K1779</f>
        <v>1</v>
      </c>
      <c r="J32" s="6">
        <f>'By Lot - West Campus'!L1779</f>
        <v>1</v>
      </c>
      <c r="K32" s="6">
        <f>'By Lot - West Campus'!M1779</f>
        <v>1</v>
      </c>
      <c r="L32" s="6">
        <f>'By Lot - West Campus'!N1779</f>
        <v>1</v>
      </c>
      <c r="M32" s="31">
        <f>'By Lot - West Campus'!O1779</f>
        <v>1</v>
      </c>
      <c r="N32" s="32">
        <f t="shared" ref="N32:N34" si="13">MIN(D32:M32)</f>
        <v>1</v>
      </c>
      <c r="O32" s="6">
        <f t="shared" ref="O32:O34" si="14">C32-N32</f>
        <v>0</v>
      </c>
      <c r="P32" s="59">
        <f t="shared" ref="P32:P34" si="15">O32/C32</f>
        <v>0</v>
      </c>
    </row>
    <row r="33" spans="1:16" ht="11.25" customHeight="1" x14ac:dyDescent="0.4">
      <c r="A33" s="17"/>
      <c r="B33" s="17" t="s">
        <v>456</v>
      </c>
      <c r="C33" s="17">
        <f>'By Lot - West Campus'!E1780</f>
        <v>6</v>
      </c>
      <c r="D33" s="32">
        <f>'By Lot - West Campus'!F1780</f>
        <v>4</v>
      </c>
      <c r="E33" s="6">
        <f>'By Lot - West Campus'!G1780</f>
        <v>5</v>
      </c>
      <c r="F33" s="6">
        <f>'By Lot - West Campus'!H1780</f>
        <v>5</v>
      </c>
      <c r="G33" s="6">
        <f>'By Lot - West Campus'!I1780</f>
        <v>5</v>
      </c>
      <c r="H33" s="6">
        <f>'By Lot - West Campus'!J1780</f>
        <v>4</v>
      </c>
      <c r="I33" s="6">
        <f>'By Lot - West Campus'!K1780</f>
        <v>5</v>
      </c>
      <c r="J33" s="6">
        <f>'By Lot - West Campus'!L1780</f>
        <v>6</v>
      </c>
      <c r="K33" s="6">
        <f>'By Lot - West Campus'!M1780</f>
        <v>3</v>
      </c>
      <c r="L33" s="6">
        <f>'By Lot - West Campus'!N1780</f>
        <v>3</v>
      </c>
      <c r="M33" s="31">
        <f>'By Lot - West Campus'!O1780</f>
        <v>3</v>
      </c>
      <c r="N33" s="32">
        <f t="shared" si="13"/>
        <v>3</v>
      </c>
      <c r="O33" s="6">
        <f t="shared" si="14"/>
        <v>3</v>
      </c>
      <c r="P33" s="59">
        <f t="shared" si="15"/>
        <v>0.5</v>
      </c>
    </row>
    <row r="34" spans="1:16" ht="11.25" customHeight="1" x14ac:dyDescent="0.4">
      <c r="A34" s="17"/>
      <c r="B34" s="17" t="s">
        <v>312</v>
      </c>
      <c r="C34" s="17">
        <f>'By Lot - West Campus'!E1781</f>
        <v>2</v>
      </c>
      <c r="D34" s="32">
        <f>'By Lot - West Campus'!F1781</f>
        <v>1</v>
      </c>
      <c r="E34" s="6">
        <f>'By Lot - West Campus'!G1781</f>
        <v>2</v>
      </c>
      <c r="F34" s="6">
        <f>'By Lot - West Campus'!H1781</f>
        <v>2</v>
      </c>
      <c r="G34" s="6">
        <f>'By Lot - West Campus'!I1781</f>
        <v>2</v>
      </c>
      <c r="H34" s="6">
        <f>'By Lot - West Campus'!J1781</f>
        <v>1</v>
      </c>
      <c r="I34" s="6">
        <f>'By Lot - West Campus'!K1781</f>
        <v>1</v>
      </c>
      <c r="J34" s="6">
        <f>'By Lot - West Campus'!L1781</f>
        <v>1</v>
      </c>
      <c r="K34" s="6">
        <f>'By Lot - West Campus'!M1781</f>
        <v>0</v>
      </c>
      <c r="L34" s="6">
        <f>'By Lot - West Campus'!N1781</f>
        <v>0</v>
      </c>
      <c r="M34" s="31">
        <f>'By Lot - West Campus'!O1781</f>
        <v>0</v>
      </c>
      <c r="N34" s="32">
        <f t="shared" si="13"/>
        <v>0</v>
      </c>
      <c r="O34" s="6">
        <f t="shared" si="14"/>
        <v>2</v>
      </c>
      <c r="P34" s="59">
        <f t="shared" si="15"/>
        <v>1</v>
      </c>
    </row>
    <row r="35" spans="1:16" ht="11.25" customHeight="1" x14ac:dyDescent="0.4">
      <c r="A35" s="17"/>
      <c r="B35" s="17" t="s">
        <v>313</v>
      </c>
      <c r="C35" s="17">
        <f>'By Lot - West Campus'!E1782</f>
        <v>0</v>
      </c>
      <c r="D35" s="32">
        <f>'By Lot - West Campus'!F1782</f>
        <v>0</v>
      </c>
      <c r="E35" s="6">
        <f>'By Lot - West Campus'!G1782</f>
        <v>0</v>
      </c>
      <c r="F35" s="6">
        <f>'By Lot - West Campus'!H1782</f>
        <v>0</v>
      </c>
      <c r="G35" s="6">
        <f>'By Lot - West Campus'!I1782</f>
        <v>0</v>
      </c>
      <c r="H35" s="6">
        <f>'By Lot - West Campus'!J1782</f>
        <v>0</v>
      </c>
      <c r="I35" s="6">
        <f>'By Lot - West Campus'!K1782</f>
        <v>0</v>
      </c>
      <c r="J35" s="6">
        <f>'By Lot - West Campus'!L1782</f>
        <v>0</v>
      </c>
      <c r="K35" s="6">
        <f>'By Lot - West Campus'!M1782</f>
        <v>0</v>
      </c>
      <c r="L35" s="6">
        <f>'By Lot - West Campus'!N1782</f>
        <v>0</v>
      </c>
      <c r="M35" s="31">
        <f>'By Lot - West Campus'!O1782</f>
        <v>0</v>
      </c>
      <c r="N35" s="32"/>
      <c r="O35" s="6"/>
      <c r="P35" s="59"/>
    </row>
    <row r="36" spans="1:16" ht="11.25" customHeight="1" x14ac:dyDescent="0.4">
      <c r="A36" s="34"/>
      <c r="B36" s="65" t="s">
        <v>314</v>
      </c>
      <c r="C36" s="155">
        <f t="shared" ref="C36:M36" si="16">SUM(C20:C35)</f>
        <v>267</v>
      </c>
      <c r="D36" s="101">
        <f t="shared" si="16"/>
        <v>88</v>
      </c>
      <c r="E36" s="102">
        <f t="shared" si="16"/>
        <v>16</v>
      </c>
      <c r="F36" s="102">
        <f t="shared" si="16"/>
        <v>8</v>
      </c>
      <c r="G36" s="102">
        <f t="shared" si="16"/>
        <v>8</v>
      </c>
      <c r="H36" s="102">
        <f t="shared" si="16"/>
        <v>6</v>
      </c>
      <c r="I36" s="102">
        <f t="shared" si="16"/>
        <v>8</v>
      </c>
      <c r="J36" s="102">
        <f t="shared" si="16"/>
        <v>10</v>
      </c>
      <c r="K36" s="102">
        <f t="shared" si="16"/>
        <v>12</v>
      </c>
      <c r="L36" s="102">
        <f t="shared" si="16"/>
        <v>31</v>
      </c>
      <c r="M36" s="103">
        <f t="shared" si="16"/>
        <v>50</v>
      </c>
      <c r="N36" s="101">
        <f>MIN(D36:M36)</f>
        <v>6</v>
      </c>
      <c r="O36" s="102">
        <f>C36-N36</f>
        <v>261</v>
      </c>
      <c r="P36" s="375">
        <f>O36/C36</f>
        <v>0.97752808988764039</v>
      </c>
    </row>
    <row r="37" spans="1:16" ht="11.25" customHeight="1" x14ac:dyDescent="0.4">
      <c r="A37" s="15" t="s">
        <v>206</v>
      </c>
      <c r="B37" s="15" t="s">
        <v>300</v>
      </c>
      <c r="C37" s="15">
        <f>'By Lot - West Campus'!E1784</f>
        <v>0</v>
      </c>
      <c r="D37" s="73">
        <f>'By Lot - West Campus'!F1784</f>
        <v>0</v>
      </c>
      <c r="E37" s="108">
        <f>'By Lot - West Campus'!G1784</f>
        <v>0</v>
      </c>
      <c r="F37" s="108">
        <f>'By Lot - West Campus'!H1784</f>
        <v>0</v>
      </c>
      <c r="G37" s="108">
        <f>'By Lot - West Campus'!I1784</f>
        <v>0</v>
      </c>
      <c r="H37" s="108">
        <f>'By Lot - West Campus'!J1784</f>
        <v>0</v>
      </c>
      <c r="I37" s="108">
        <f>'By Lot - West Campus'!K1784</f>
        <v>0</v>
      </c>
      <c r="J37" s="108">
        <f>'By Lot - West Campus'!L1784</f>
        <v>0</v>
      </c>
      <c r="K37" s="108">
        <f>'By Lot - West Campus'!M1784</f>
        <v>0</v>
      </c>
      <c r="L37" s="108">
        <f>'By Lot - West Campus'!N1784</f>
        <v>0</v>
      </c>
      <c r="M37" s="109">
        <f>'By Lot - West Campus'!O1784</f>
        <v>0</v>
      </c>
      <c r="N37" s="73"/>
      <c r="O37" s="108"/>
      <c r="P37" s="188"/>
    </row>
    <row r="38" spans="1:16" ht="11.25" customHeight="1" x14ac:dyDescent="0.4">
      <c r="A38" s="17"/>
      <c r="B38" s="17" t="s">
        <v>301</v>
      </c>
      <c r="C38" s="17">
        <f>'By Lot - West Campus'!E1785</f>
        <v>0</v>
      </c>
      <c r="D38" s="32">
        <f>'By Lot - West Campus'!F1785</f>
        <v>0</v>
      </c>
      <c r="E38" s="6">
        <f>'By Lot - West Campus'!G1785</f>
        <v>0</v>
      </c>
      <c r="F38" s="6">
        <f>'By Lot - West Campus'!H1785</f>
        <v>0</v>
      </c>
      <c r="G38" s="6">
        <f>'By Lot - West Campus'!I1785</f>
        <v>0</v>
      </c>
      <c r="H38" s="6">
        <f>'By Lot - West Campus'!J1785</f>
        <v>0</v>
      </c>
      <c r="I38" s="6">
        <f>'By Lot - West Campus'!K1785</f>
        <v>0</v>
      </c>
      <c r="J38" s="6">
        <f>'By Lot - West Campus'!L1785</f>
        <v>0</v>
      </c>
      <c r="K38" s="6">
        <f>'By Lot - West Campus'!M1785</f>
        <v>0</v>
      </c>
      <c r="L38" s="6">
        <f>'By Lot - West Campus'!N1785</f>
        <v>0</v>
      </c>
      <c r="M38" s="31">
        <f>'By Lot - West Campus'!O1785</f>
        <v>0</v>
      </c>
      <c r="N38" s="32"/>
      <c r="O38" s="6"/>
      <c r="P38" s="59"/>
    </row>
    <row r="39" spans="1:16" ht="11.25" customHeight="1" x14ac:dyDescent="0.4">
      <c r="A39" s="17"/>
      <c r="B39" s="17" t="s">
        <v>303</v>
      </c>
      <c r="C39" s="17">
        <f>'By Lot - West Campus'!E1786</f>
        <v>178</v>
      </c>
      <c r="D39" s="32">
        <f>'By Lot - West Campus'!F1786</f>
        <v>0</v>
      </c>
      <c r="E39" s="6">
        <f>'By Lot - West Campus'!G1786</f>
        <v>0</v>
      </c>
      <c r="F39" s="6">
        <f>'By Lot - West Campus'!H1786</f>
        <v>0</v>
      </c>
      <c r="G39" s="6">
        <f>'By Lot - West Campus'!I1786</f>
        <v>0</v>
      </c>
      <c r="H39" s="6">
        <f>'By Lot - West Campus'!J1786</f>
        <v>0</v>
      </c>
      <c r="I39" s="6">
        <f>'By Lot - West Campus'!K1786</f>
        <v>0</v>
      </c>
      <c r="J39" s="6">
        <f>'By Lot - West Campus'!L1786</f>
        <v>0</v>
      </c>
      <c r="K39" s="6">
        <f>'By Lot - West Campus'!M1786</f>
        <v>6</v>
      </c>
      <c r="L39" s="6">
        <f>'By Lot - West Campus'!N1786</f>
        <v>6</v>
      </c>
      <c r="M39" s="31">
        <f>'By Lot - West Campus'!O1786</f>
        <v>11</v>
      </c>
      <c r="N39" s="32">
        <f>MIN(D39:M39)</f>
        <v>0</v>
      </c>
      <c r="O39" s="6">
        <f>C39-N39</f>
        <v>178</v>
      </c>
      <c r="P39" s="59">
        <f>O39/C39</f>
        <v>1</v>
      </c>
    </row>
    <row r="40" spans="1:16" ht="11.25" customHeight="1" x14ac:dyDescent="0.4">
      <c r="A40" s="17"/>
      <c r="B40" s="17" t="s">
        <v>369</v>
      </c>
      <c r="C40" s="17">
        <f>'By Lot - West Campus'!E1787</f>
        <v>0</v>
      </c>
      <c r="D40" s="32">
        <f>'By Lot - West Campus'!F1787</f>
        <v>0</v>
      </c>
      <c r="E40" s="6">
        <f>'By Lot - West Campus'!G1787</f>
        <v>0</v>
      </c>
      <c r="F40" s="6">
        <f>'By Lot - West Campus'!H1787</f>
        <v>0</v>
      </c>
      <c r="G40" s="6">
        <f>'By Lot - West Campus'!I1787</f>
        <v>0</v>
      </c>
      <c r="H40" s="6">
        <f>'By Lot - West Campus'!J1787</f>
        <v>0</v>
      </c>
      <c r="I40" s="6">
        <f>'By Lot - West Campus'!K1787</f>
        <v>0</v>
      </c>
      <c r="J40" s="6">
        <f>'By Lot - West Campus'!L1787</f>
        <v>0</v>
      </c>
      <c r="K40" s="6">
        <f>'By Lot - West Campus'!M1787</f>
        <v>0</v>
      </c>
      <c r="L40" s="6">
        <f>'By Lot - West Campus'!N1787</f>
        <v>0</v>
      </c>
      <c r="M40" s="31">
        <f>'By Lot - West Campus'!O1787</f>
        <v>0</v>
      </c>
      <c r="N40" s="32"/>
      <c r="O40" s="6"/>
      <c r="P40" s="59"/>
    </row>
    <row r="41" spans="1:16" ht="11.25" customHeight="1" x14ac:dyDescent="0.4">
      <c r="A41" s="17"/>
      <c r="B41" s="17" t="s">
        <v>369</v>
      </c>
      <c r="C41" s="17">
        <f>'By Lot - West Campus'!E1788</f>
        <v>0</v>
      </c>
      <c r="D41" s="32">
        <f>'By Lot - West Campus'!F1788</f>
        <v>0</v>
      </c>
      <c r="E41" s="6">
        <f>'By Lot - West Campus'!G1788</f>
        <v>0</v>
      </c>
      <c r="F41" s="6">
        <f>'By Lot - West Campus'!H1788</f>
        <v>0</v>
      </c>
      <c r="G41" s="6">
        <f>'By Lot - West Campus'!I1788</f>
        <v>0</v>
      </c>
      <c r="H41" s="6">
        <f>'By Lot - West Campus'!J1788</f>
        <v>0</v>
      </c>
      <c r="I41" s="6">
        <f>'By Lot - West Campus'!K1788</f>
        <v>0</v>
      </c>
      <c r="J41" s="6">
        <f>'By Lot - West Campus'!L1788</f>
        <v>0</v>
      </c>
      <c r="K41" s="6">
        <f>'By Lot - West Campus'!M1788</f>
        <v>0</v>
      </c>
      <c r="L41" s="6">
        <f>'By Lot - West Campus'!N1788</f>
        <v>0</v>
      </c>
      <c r="M41" s="31">
        <f>'By Lot - West Campus'!O1788</f>
        <v>0</v>
      </c>
      <c r="N41" s="32"/>
      <c r="O41" s="6"/>
      <c r="P41" s="59"/>
    </row>
    <row r="42" spans="1:16" ht="11.25" customHeight="1" x14ac:dyDescent="0.4">
      <c r="A42" s="17"/>
      <c r="B42" s="17" t="s">
        <v>308</v>
      </c>
      <c r="C42" s="17">
        <f>'By Lot - West Campus'!E1789</f>
        <v>0</v>
      </c>
      <c r="D42" s="32">
        <f>'By Lot - West Campus'!F1789</f>
        <v>0</v>
      </c>
      <c r="E42" s="6">
        <f>'By Lot - West Campus'!G1789</f>
        <v>0</v>
      </c>
      <c r="F42" s="6">
        <f>'By Lot - West Campus'!H1789</f>
        <v>0</v>
      </c>
      <c r="G42" s="6">
        <f>'By Lot - West Campus'!I1789</f>
        <v>0</v>
      </c>
      <c r="H42" s="6">
        <f>'By Lot - West Campus'!J1789</f>
        <v>0</v>
      </c>
      <c r="I42" s="6">
        <f>'By Lot - West Campus'!K1789</f>
        <v>0</v>
      </c>
      <c r="J42" s="6">
        <f>'By Lot - West Campus'!L1789</f>
        <v>0</v>
      </c>
      <c r="K42" s="6">
        <f>'By Lot - West Campus'!M1789</f>
        <v>0</v>
      </c>
      <c r="L42" s="6">
        <f>'By Lot - West Campus'!N1789</f>
        <v>0</v>
      </c>
      <c r="M42" s="31">
        <f>'By Lot - West Campus'!O1789</f>
        <v>0</v>
      </c>
      <c r="N42" s="32"/>
      <c r="O42" s="6"/>
      <c r="P42" s="59"/>
    </row>
    <row r="43" spans="1:16" ht="11.25" customHeight="1" x14ac:dyDescent="0.4">
      <c r="A43" s="17"/>
      <c r="B43" s="17" t="s">
        <v>399</v>
      </c>
      <c r="C43" s="17">
        <f>'By Lot - West Campus'!E1790</f>
        <v>63</v>
      </c>
      <c r="D43" s="32">
        <f>'By Lot - West Campus'!F1790</f>
        <v>21</v>
      </c>
      <c r="E43" s="6">
        <f>'By Lot - West Campus'!G1790</f>
        <v>1</v>
      </c>
      <c r="F43" s="6">
        <f>'By Lot - West Campus'!H1790</f>
        <v>0</v>
      </c>
      <c r="G43" s="6">
        <f>'By Lot - West Campus'!I1790</f>
        <v>0</v>
      </c>
      <c r="H43" s="6">
        <f>'By Lot - West Campus'!J1790</f>
        <v>0</v>
      </c>
      <c r="I43" s="6">
        <f>'By Lot - West Campus'!K1790</f>
        <v>0</v>
      </c>
      <c r="J43" s="6">
        <f>'By Lot - West Campus'!L1790</f>
        <v>1</v>
      </c>
      <c r="K43" s="6">
        <f>'By Lot - West Campus'!M1790</f>
        <v>5</v>
      </c>
      <c r="L43" s="6">
        <f>'By Lot - West Campus'!N1790</f>
        <v>10</v>
      </c>
      <c r="M43" s="31">
        <f>'By Lot - West Campus'!O1790</f>
        <v>17</v>
      </c>
      <c r="N43" s="32">
        <f t="shared" ref="N43:N44" si="17">MIN(D43:M43)</f>
        <v>0</v>
      </c>
      <c r="O43" s="6">
        <f t="shared" ref="O43:O44" si="18">C43-N43</f>
        <v>63</v>
      </c>
      <c r="P43" s="59">
        <f t="shared" ref="P43:P44" si="19">O43/C43</f>
        <v>1</v>
      </c>
    </row>
    <row r="44" spans="1:16" ht="11.25" customHeight="1" x14ac:dyDescent="0.4">
      <c r="A44" s="17"/>
      <c r="B44" s="17" t="s">
        <v>372</v>
      </c>
      <c r="C44" s="17">
        <f>'By Lot - West Campus'!E1791</f>
        <v>8</v>
      </c>
      <c r="D44" s="32">
        <f>'By Lot - West Campus'!F1791</f>
        <v>7</v>
      </c>
      <c r="E44" s="6">
        <f>'By Lot - West Campus'!G1791</f>
        <v>2</v>
      </c>
      <c r="F44" s="6">
        <f>'By Lot - West Campus'!H1791</f>
        <v>0</v>
      </c>
      <c r="G44" s="6">
        <f>'By Lot - West Campus'!I1791</f>
        <v>0</v>
      </c>
      <c r="H44" s="6">
        <f>'By Lot - West Campus'!J1791</f>
        <v>0</v>
      </c>
      <c r="I44" s="6">
        <f>'By Lot - West Campus'!K1791</f>
        <v>0</v>
      </c>
      <c r="J44" s="6">
        <f>'By Lot - West Campus'!L1791</f>
        <v>0</v>
      </c>
      <c r="K44" s="6">
        <f>'By Lot - West Campus'!M1791</f>
        <v>2</v>
      </c>
      <c r="L44" s="6">
        <f>'By Lot - West Campus'!N1791</f>
        <v>5</v>
      </c>
      <c r="M44" s="31">
        <f>'By Lot - West Campus'!O1791</f>
        <v>5</v>
      </c>
      <c r="N44" s="32">
        <f t="shared" si="17"/>
        <v>0</v>
      </c>
      <c r="O44" s="6">
        <f t="shared" si="18"/>
        <v>8</v>
      </c>
      <c r="P44" s="59">
        <f t="shared" si="19"/>
        <v>1</v>
      </c>
    </row>
    <row r="45" spans="1:16" ht="11.25" customHeight="1" x14ac:dyDescent="0.4">
      <c r="A45" s="17"/>
      <c r="B45" s="17" t="s">
        <v>374</v>
      </c>
      <c r="C45" s="17">
        <f>'By Lot - West Campus'!E1792</f>
        <v>0</v>
      </c>
      <c r="D45" s="32">
        <f>'By Lot - West Campus'!F1792</f>
        <v>0</v>
      </c>
      <c r="E45" s="6">
        <f>'By Lot - West Campus'!G1792</f>
        <v>0</v>
      </c>
      <c r="F45" s="6">
        <f>'By Lot - West Campus'!H1792</f>
        <v>0</v>
      </c>
      <c r="G45" s="6">
        <f>'By Lot - West Campus'!I1792</f>
        <v>0</v>
      </c>
      <c r="H45" s="6">
        <f>'By Lot - West Campus'!J1792</f>
        <v>0</v>
      </c>
      <c r="I45" s="6">
        <f>'By Lot - West Campus'!K1792</f>
        <v>0</v>
      </c>
      <c r="J45" s="6">
        <f>'By Lot - West Campus'!L1792</f>
        <v>0</v>
      </c>
      <c r="K45" s="6">
        <f>'By Lot - West Campus'!M1792</f>
        <v>0</v>
      </c>
      <c r="L45" s="6">
        <f>'By Lot - West Campus'!N1792</f>
        <v>0</v>
      </c>
      <c r="M45" s="31">
        <f>'By Lot - West Campus'!O1792</f>
        <v>0</v>
      </c>
      <c r="N45" s="32"/>
      <c r="O45" s="6"/>
      <c r="P45" s="59"/>
    </row>
    <row r="46" spans="1:16" ht="11.25" customHeight="1" x14ac:dyDescent="0.4">
      <c r="A46" s="17"/>
      <c r="B46" s="17" t="s">
        <v>374</v>
      </c>
      <c r="C46" s="17">
        <f>'By Lot - West Campus'!E1793</f>
        <v>0</v>
      </c>
      <c r="D46" s="32">
        <f>'By Lot - West Campus'!F1793</f>
        <v>0</v>
      </c>
      <c r="E46" s="6">
        <f>'By Lot - West Campus'!G1793</f>
        <v>0</v>
      </c>
      <c r="F46" s="6">
        <f>'By Lot - West Campus'!H1793</f>
        <v>0</v>
      </c>
      <c r="G46" s="6">
        <f>'By Lot - West Campus'!I1793</f>
        <v>0</v>
      </c>
      <c r="H46" s="6">
        <f>'By Lot - West Campus'!J1793</f>
        <v>0</v>
      </c>
      <c r="I46" s="6">
        <f>'By Lot - West Campus'!K1793</f>
        <v>0</v>
      </c>
      <c r="J46" s="6">
        <f>'By Lot - West Campus'!L1793</f>
        <v>0</v>
      </c>
      <c r="K46" s="6">
        <f>'By Lot - West Campus'!M1793</f>
        <v>0</v>
      </c>
      <c r="L46" s="6">
        <f>'By Lot - West Campus'!N1793</f>
        <v>0</v>
      </c>
      <c r="M46" s="31">
        <f>'By Lot - West Campus'!O1793</f>
        <v>0</v>
      </c>
      <c r="N46" s="32"/>
      <c r="O46" s="6"/>
      <c r="P46" s="59"/>
    </row>
    <row r="47" spans="1:16" ht="11.25" customHeight="1" x14ac:dyDescent="0.4">
      <c r="A47" s="17"/>
      <c r="B47" s="17" t="s">
        <v>374</v>
      </c>
      <c r="C47" s="17">
        <f>'By Lot - West Campus'!E1794</f>
        <v>0</v>
      </c>
      <c r="D47" s="32">
        <f>'By Lot - West Campus'!F1794</f>
        <v>0</v>
      </c>
      <c r="E47" s="6">
        <f>'By Lot - West Campus'!G1794</f>
        <v>0</v>
      </c>
      <c r="F47" s="6">
        <f>'By Lot - West Campus'!H1794</f>
        <v>0</v>
      </c>
      <c r="G47" s="6">
        <f>'By Lot - West Campus'!I1794</f>
        <v>0</v>
      </c>
      <c r="H47" s="6">
        <f>'By Lot - West Campus'!J1794</f>
        <v>0</v>
      </c>
      <c r="I47" s="6">
        <f>'By Lot - West Campus'!K1794</f>
        <v>0</v>
      </c>
      <c r="J47" s="6">
        <f>'By Lot - West Campus'!L1794</f>
        <v>0</v>
      </c>
      <c r="K47" s="6">
        <f>'By Lot - West Campus'!M1794</f>
        <v>0</v>
      </c>
      <c r="L47" s="6">
        <f>'By Lot - West Campus'!N1794</f>
        <v>0</v>
      </c>
      <c r="M47" s="31">
        <f>'By Lot - West Campus'!O1794</f>
        <v>0</v>
      </c>
      <c r="N47" s="32"/>
      <c r="O47" s="6"/>
      <c r="P47" s="59"/>
    </row>
    <row r="48" spans="1:16" ht="11.25" customHeight="1" x14ac:dyDescent="0.4">
      <c r="A48" s="17"/>
      <c r="B48" s="17" t="s">
        <v>374</v>
      </c>
      <c r="C48" s="17">
        <f>'By Lot - West Campus'!E1795</f>
        <v>0</v>
      </c>
      <c r="D48" s="32">
        <f>'By Lot - West Campus'!F1795</f>
        <v>0</v>
      </c>
      <c r="E48" s="6">
        <f>'By Lot - West Campus'!G1795</f>
        <v>0</v>
      </c>
      <c r="F48" s="6">
        <f>'By Lot - West Campus'!H1795</f>
        <v>0</v>
      </c>
      <c r="G48" s="6">
        <f>'By Lot - West Campus'!I1795</f>
        <v>0</v>
      </c>
      <c r="H48" s="6">
        <f>'By Lot - West Campus'!J1795</f>
        <v>0</v>
      </c>
      <c r="I48" s="6">
        <f>'By Lot - West Campus'!K1795</f>
        <v>0</v>
      </c>
      <c r="J48" s="6">
        <f>'By Lot - West Campus'!L1795</f>
        <v>0</v>
      </c>
      <c r="K48" s="6">
        <f>'By Lot - West Campus'!M1795</f>
        <v>0</v>
      </c>
      <c r="L48" s="6">
        <f>'By Lot - West Campus'!N1795</f>
        <v>0</v>
      </c>
      <c r="M48" s="31">
        <f>'By Lot - West Campus'!O1795</f>
        <v>0</v>
      </c>
      <c r="N48" s="32"/>
      <c r="O48" s="6"/>
      <c r="P48" s="59"/>
    </row>
    <row r="49" spans="1:16" ht="11.25" customHeight="1" x14ac:dyDescent="0.4">
      <c r="A49" s="17"/>
      <c r="B49" s="17" t="s">
        <v>310</v>
      </c>
      <c r="C49" s="17">
        <f>'By Lot - West Campus'!E1796</f>
        <v>6</v>
      </c>
      <c r="D49" s="32">
        <f>'By Lot - West Campus'!F1796</f>
        <v>5</v>
      </c>
      <c r="E49" s="6">
        <f>'By Lot - West Campus'!G1796</f>
        <v>5</v>
      </c>
      <c r="F49" s="6">
        <f>'By Lot - West Campus'!H1796</f>
        <v>4</v>
      </c>
      <c r="G49" s="6">
        <f>'By Lot - West Campus'!I1796</f>
        <v>2</v>
      </c>
      <c r="H49" s="6">
        <f>'By Lot - West Campus'!J1796</f>
        <v>1</v>
      </c>
      <c r="I49" s="6">
        <f>'By Lot - West Campus'!K1796</f>
        <v>1</v>
      </c>
      <c r="J49" s="6">
        <f>'By Lot - West Campus'!L1796</f>
        <v>2</v>
      </c>
      <c r="K49" s="6">
        <f>'By Lot - West Campus'!M1796</f>
        <v>3</v>
      </c>
      <c r="L49" s="6">
        <f>'By Lot - West Campus'!N1796</f>
        <v>3</v>
      </c>
      <c r="M49" s="31">
        <f>'By Lot - West Campus'!O1796</f>
        <v>5</v>
      </c>
      <c r="N49" s="32">
        <f t="shared" ref="N49:N50" si="20">MIN(D49:M49)</f>
        <v>1</v>
      </c>
      <c r="O49" s="6">
        <f t="shared" ref="O49:O50" si="21">C49-N49</f>
        <v>5</v>
      </c>
      <c r="P49" s="59">
        <f t="shared" ref="P49:P50" si="22">O49/C49</f>
        <v>0.83333333333333337</v>
      </c>
    </row>
    <row r="50" spans="1:16" ht="11.25" customHeight="1" x14ac:dyDescent="0.4">
      <c r="A50" s="17"/>
      <c r="B50" s="17" t="s">
        <v>456</v>
      </c>
      <c r="C50" s="17">
        <f>'By Lot - West Campus'!E1797</f>
        <v>2</v>
      </c>
      <c r="D50" s="32">
        <f>'By Lot - West Campus'!F1797</f>
        <v>1</v>
      </c>
      <c r="E50" s="6">
        <f>'By Lot - West Campus'!G1797</f>
        <v>1</v>
      </c>
      <c r="F50" s="6">
        <f>'By Lot - West Campus'!H1797</f>
        <v>0</v>
      </c>
      <c r="G50" s="6">
        <f>'By Lot - West Campus'!I1797</f>
        <v>0</v>
      </c>
      <c r="H50" s="6">
        <f>'By Lot - West Campus'!J1797</f>
        <v>0</v>
      </c>
      <c r="I50" s="6">
        <f>'By Lot - West Campus'!K1797</f>
        <v>0</v>
      </c>
      <c r="J50" s="6">
        <f>'By Lot - West Campus'!L1797</f>
        <v>0</v>
      </c>
      <c r="K50" s="6">
        <f>'By Lot - West Campus'!M1797</f>
        <v>1</v>
      </c>
      <c r="L50" s="6">
        <f>'By Lot - West Campus'!N1797</f>
        <v>0</v>
      </c>
      <c r="M50" s="31">
        <f>'By Lot - West Campus'!O1797</f>
        <v>1</v>
      </c>
      <c r="N50" s="32">
        <f t="shared" si="20"/>
        <v>0</v>
      </c>
      <c r="O50" s="6">
        <f t="shared" si="21"/>
        <v>2</v>
      </c>
      <c r="P50" s="59">
        <f t="shared" si="22"/>
        <v>1</v>
      </c>
    </row>
    <row r="51" spans="1:16" ht="11.25" customHeight="1" x14ac:dyDescent="0.4">
      <c r="A51" s="17"/>
      <c r="B51" s="17" t="s">
        <v>312</v>
      </c>
      <c r="C51" s="17">
        <f>'By Lot - West Campus'!E1798</f>
        <v>0</v>
      </c>
      <c r="D51" s="32">
        <f>'By Lot - West Campus'!F1798</f>
        <v>0</v>
      </c>
      <c r="E51" s="6">
        <f>'By Lot - West Campus'!G1798</f>
        <v>0</v>
      </c>
      <c r="F51" s="6">
        <f>'By Lot - West Campus'!H1798</f>
        <v>0</v>
      </c>
      <c r="G51" s="6">
        <f>'By Lot - West Campus'!I1798</f>
        <v>0</v>
      </c>
      <c r="H51" s="6">
        <f>'By Lot - West Campus'!J1798</f>
        <v>0</v>
      </c>
      <c r="I51" s="6">
        <f>'By Lot - West Campus'!K1798</f>
        <v>0</v>
      </c>
      <c r="J51" s="6">
        <f>'By Lot - West Campus'!L1798</f>
        <v>0</v>
      </c>
      <c r="K51" s="6">
        <f>'By Lot - West Campus'!M1798</f>
        <v>0</v>
      </c>
      <c r="L51" s="6">
        <f>'By Lot - West Campus'!N1798</f>
        <v>0</v>
      </c>
      <c r="M51" s="31">
        <f>'By Lot - West Campus'!O1798</f>
        <v>0</v>
      </c>
      <c r="N51" s="32"/>
      <c r="O51" s="6"/>
      <c r="P51" s="59"/>
    </row>
    <row r="52" spans="1:16" ht="11.25" customHeight="1" x14ac:dyDescent="0.4">
      <c r="A52" s="17"/>
      <c r="B52" s="17" t="s">
        <v>313</v>
      </c>
      <c r="C52" s="17">
        <f>'By Lot - West Campus'!E1799</f>
        <v>0</v>
      </c>
      <c r="D52" s="32">
        <f>'By Lot - West Campus'!F1799</f>
        <v>0</v>
      </c>
      <c r="E52" s="6">
        <f>'By Lot - West Campus'!G1799</f>
        <v>0</v>
      </c>
      <c r="F52" s="6">
        <f>'By Lot - West Campus'!H1799</f>
        <v>0</v>
      </c>
      <c r="G52" s="6">
        <f>'By Lot - West Campus'!I1799</f>
        <v>0</v>
      </c>
      <c r="H52" s="6">
        <f>'By Lot - West Campus'!J1799</f>
        <v>0</v>
      </c>
      <c r="I52" s="6">
        <f>'By Lot - West Campus'!K1799</f>
        <v>0</v>
      </c>
      <c r="J52" s="6">
        <f>'By Lot - West Campus'!L1799</f>
        <v>0</v>
      </c>
      <c r="K52" s="6">
        <f>'By Lot - West Campus'!M1799</f>
        <v>0</v>
      </c>
      <c r="L52" s="6">
        <f>'By Lot - West Campus'!N1799</f>
        <v>0</v>
      </c>
      <c r="M52" s="31">
        <f>'By Lot - West Campus'!O1799</f>
        <v>0</v>
      </c>
      <c r="N52" s="32"/>
      <c r="O52" s="6"/>
      <c r="P52" s="59"/>
    </row>
    <row r="53" spans="1:16" ht="11.25" customHeight="1" x14ac:dyDescent="0.4">
      <c r="A53" s="34"/>
      <c r="B53" s="65" t="s">
        <v>314</v>
      </c>
      <c r="C53" s="155">
        <f t="shared" ref="C53:M53" si="23">SUM(C37:C52)</f>
        <v>257</v>
      </c>
      <c r="D53" s="101">
        <f t="shared" si="23"/>
        <v>34</v>
      </c>
      <c r="E53" s="102">
        <f t="shared" si="23"/>
        <v>9</v>
      </c>
      <c r="F53" s="102">
        <f t="shared" si="23"/>
        <v>4</v>
      </c>
      <c r="G53" s="102">
        <f t="shared" si="23"/>
        <v>2</v>
      </c>
      <c r="H53" s="102">
        <f t="shared" si="23"/>
        <v>1</v>
      </c>
      <c r="I53" s="102">
        <f t="shared" si="23"/>
        <v>1</v>
      </c>
      <c r="J53" s="102">
        <f t="shared" si="23"/>
        <v>3</v>
      </c>
      <c r="K53" s="102">
        <f t="shared" si="23"/>
        <v>17</v>
      </c>
      <c r="L53" s="102">
        <f t="shared" si="23"/>
        <v>24</v>
      </c>
      <c r="M53" s="103">
        <f t="shared" si="23"/>
        <v>39</v>
      </c>
      <c r="N53" s="101">
        <f>MIN(D53:M53)</f>
        <v>1</v>
      </c>
      <c r="O53" s="102">
        <f>C53-N53</f>
        <v>256</v>
      </c>
      <c r="P53" s="375">
        <f>O53/C53</f>
        <v>0.99610894941634243</v>
      </c>
    </row>
    <row r="54" spans="1:16" ht="11.25" customHeight="1" x14ac:dyDescent="0.4">
      <c r="A54" s="15" t="s">
        <v>211</v>
      </c>
      <c r="B54" s="15" t="s">
        <v>300</v>
      </c>
      <c r="C54" s="15">
        <f>'By Lot - West Campus'!E1801</f>
        <v>0</v>
      </c>
      <c r="D54" s="73">
        <f>'By Lot - West Campus'!F1801</f>
        <v>0</v>
      </c>
      <c r="E54" s="108">
        <f>'By Lot - West Campus'!G1801</f>
        <v>0</v>
      </c>
      <c r="F54" s="108">
        <f>'By Lot - West Campus'!H1801</f>
        <v>0</v>
      </c>
      <c r="G54" s="108">
        <f>'By Lot - West Campus'!I1801</f>
        <v>0</v>
      </c>
      <c r="H54" s="108">
        <f>'By Lot - West Campus'!J1801</f>
        <v>0</v>
      </c>
      <c r="I54" s="108">
        <f>'By Lot - West Campus'!K1801</f>
        <v>0</v>
      </c>
      <c r="J54" s="108">
        <f>'By Lot - West Campus'!L1801</f>
        <v>0</v>
      </c>
      <c r="K54" s="108">
        <f>'By Lot - West Campus'!M1801</f>
        <v>0</v>
      </c>
      <c r="L54" s="108">
        <f>'By Lot - West Campus'!N1801</f>
        <v>0</v>
      </c>
      <c r="M54" s="109">
        <f>'By Lot - West Campus'!O1801</f>
        <v>0</v>
      </c>
      <c r="N54" s="73"/>
      <c r="O54" s="108"/>
      <c r="P54" s="188"/>
    </row>
    <row r="55" spans="1:16" ht="11.25" customHeight="1" x14ac:dyDescent="0.4">
      <c r="A55" s="17"/>
      <c r="B55" s="17" t="s">
        <v>301</v>
      </c>
      <c r="C55" s="17">
        <f>'By Lot - West Campus'!E1802</f>
        <v>181</v>
      </c>
      <c r="D55" s="32">
        <f>'By Lot - West Campus'!F1802</f>
        <v>0</v>
      </c>
      <c r="E55" s="6">
        <f>'By Lot - West Campus'!G1802</f>
        <v>0</v>
      </c>
      <c r="F55" s="6">
        <f>'By Lot - West Campus'!H1802</f>
        <v>0</v>
      </c>
      <c r="G55" s="6">
        <f>'By Lot - West Campus'!I1802</f>
        <v>0</v>
      </c>
      <c r="H55" s="6">
        <f>'By Lot - West Campus'!J1802</f>
        <v>0</v>
      </c>
      <c r="I55" s="6">
        <f>'By Lot - West Campus'!K1802</f>
        <v>0</v>
      </c>
      <c r="J55" s="6">
        <f>'By Lot - West Campus'!L1802</f>
        <v>0</v>
      </c>
      <c r="K55" s="6">
        <f>'By Lot - West Campus'!M1802</f>
        <v>9</v>
      </c>
      <c r="L55" s="6">
        <f>'By Lot - West Campus'!N1802</f>
        <v>47</v>
      </c>
      <c r="M55" s="31">
        <f>'By Lot - West Campus'!O1802</f>
        <v>107</v>
      </c>
      <c r="N55" s="32">
        <f>MIN(D55:M55)</f>
        <v>0</v>
      </c>
      <c r="O55" s="6">
        <f>C55-N55</f>
        <v>181</v>
      </c>
      <c r="P55" s="59">
        <f>O55/C55</f>
        <v>1</v>
      </c>
    </row>
    <row r="56" spans="1:16" ht="11.25" customHeight="1" x14ac:dyDescent="0.4">
      <c r="A56" s="17"/>
      <c r="B56" s="17" t="s">
        <v>303</v>
      </c>
      <c r="C56" s="17">
        <f>'By Lot - West Campus'!E1803</f>
        <v>0</v>
      </c>
      <c r="D56" s="32">
        <f>'By Lot - West Campus'!F1803</f>
        <v>0</v>
      </c>
      <c r="E56" s="6">
        <f>'By Lot - West Campus'!G1803</f>
        <v>0</v>
      </c>
      <c r="F56" s="6">
        <f>'By Lot - West Campus'!H1803</f>
        <v>0</v>
      </c>
      <c r="G56" s="6">
        <f>'By Lot - West Campus'!I1803</f>
        <v>0</v>
      </c>
      <c r="H56" s="6">
        <f>'By Lot - West Campus'!J1803</f>
        <v>0</v>
      </c>
      <c r="I56" s="6">
        <f>'By Lot - West Campus'!K1803</f>
        <v>0</v>
      </c>
      <c r="J56" s="6">
        <f>'By Lot - West Campus'!L1803</f>
        <v>0</v>
      </c>
      <c r="K56" s="6">
        <f>'By Lot - West Campus'!M1803</f>
        <v>0</v>
      </c>
      <c r="L56" s="6">
        <f>'By Lot - West Campus'!N1803</f>
        <v>0</v>
      </c>
      <c r="M56" s="31">
        <f>'By Lot - West Campus'!O1803</f>
        <v>0</v>
      </c>
      <c r="N56" s="32"/>
      <c r="O56" s="6"/>
      <c r="P56" s="59"/>
    </row>
    <row r="57" spans="1:16" ht="11.25" customHeight="1" x14ac:dyDescent="0.4">
      <c r="A57" s="17"/>
      <c r="B57" s="17" t="s">
        <v>369</v>
      </c>
      <c r="C57" s="17">
        <f>'By Lot - West Campus'!E1804</f>
        <v>46</v>
      </c>
      <c r="D57" s="32">
        <f>'By Lot - West Campus'!F1804</f>
        <v>30</v>
      </c>
      <c r="E57" s="6">
        <f>'By Lot - West Campus'!G1804</f>
        <v>20</v>
      </c>
      <c r="F57" s="6">
        <f>'By Lot - West Campus'!H1804</f>
        <v>20</v>
      </c>
      <c r="G57" s="6">
        <f>'By Lot - West Campus'!I1804</f>
        <v>18</v>
      </c>
      <c r="H57" s="6">
        <f>'By Lot - West Campus'!J1804</f>
        <v>12</v>
      </c>
      <c r="I57" s="6">
        <f>'By Lot - West Campus'!K1804</f>
        <v>3</v>
      </c>
      <c r="J57" s="6">
        <f>'By Lot - West Campus'!L1804</f>
        <v>3</v>
      </c>
      <c r="K57" s="6">
        <f>'By Lot - West Campus'!M1804</f>
        <v>3</v>
      </c>
      <c r="L57" s="6">
        <f>'By Lot - West Campus'!N1804</f>
        <v>15</v>
      </c>
      <c r="M57" s="31">
        <f>'By Lot - West Campus'!O1804</f>
        <v>22</v>
      </c>
      <c r="N57" s="32">
        <f>MIN(D57:M57)</f>
        <v>3</v>
      </c>
      <c r="O57" s="6">
        <f>C57-N57</f>
        <v>43</v>
      </c>
      <c r="P57" s="59">
        <f>O57/C57</f>
        <v>0.93478260869565222</v>
      </c>
    </row>
    <row r="58" spans="1:16" ht="11.25" customHeight="1" x14ac:dyDescent="0.4">
      <c r="A58" s="17"/>
      <c r="B58" s="17" t="s">
        <v>369</v>
      </c>
      <c r="C58" s="17">
        <f>'By Lot - West Campus'!E1805</f>
        <v>0</v>
      </c>
      <c r="D58" s="32">
        <f>'By Lot - West Campus'!F1805</f>
        <v>0</v>
      </c>
      <c r="E58" s="6">
        <f>'By Lot - West Campus'!G1805</f>
        <v>0</v>
      </c>
      <c r="F58" s="6">
        <f>'By Lot - West Campus'!H1805</f>
        <v>0</v>
      </c>
      <c r="G58" s="6">
        <f>'By Lot - West Campus'!I1805</f>
        <v>0</v>
      </c>
      <c r="H58" s="6">
        <f>'By Lot - West Campus'!J1805</f>
        <v>0</v>
      </c>
      <c r="I58" s="6">
        <f>'By Lot - West Campus'!K1805</f>
        <v>0</v>
      </c>
      <c r="J58" s="6">
        <f>'By Lot - West Campus'!L1805</f>
        <v>0</v>
      </c>
      <c r="K58" s="6">
        <f>'By Lot - West Campus'!M1805</f>
        <v>0</v>
      </c>
      <c r="L58" s="6">
        <f>'By Lot - West Campus'!N1805</f>
        <v>0</v>
      </c>
      <c r="M58" s="31">
        <f>'By Lot - West Campus'!O1805</f>
        <v>0</v>
      </c>
      <c r="N58" s="32"/>
      <c r="O58" s="6"/>
      <c r="P58" s="59"/>
    </row>
    <row r="59" spans="1:16" ht="11.25" customHeight="1" x14ac:dyDescent="0.4">
      <c r="A59" s="17"/>
      <c r="B59" s="17" t="s">
        <v>308</v>
      </c>
      <c r="C59" s="17">
        <f>'By Lot - West Campus'!E1806</f>
        <v>7</v>
      </c>
      <c r="D59" s="32">
        <f>'By Lot - West Campus'!F1806</f>
        <v>1</v>
      </c>
      <c r="E59" s="6">
        <f>'By Lot - West Campus'!G1806</f>
        <v>1</v>
      </c>
      <c r="F59" s="6">
        <f>'By Lot - West Campus'!H1806</f>
        <v>1</v>
      </c>
      <c r="G59" s="6">
        <f>'By Lot - West Campus'!I1806</f>
        <v>0</v>
      </c>
      <c r="H59" s="6">
        <f>'By Lot - West Campus'!J1806</f>
        <v>0</v>
      </c>
      <c r="I59" s="6">
        <f>'By Lot - West Campus'!K1806</f>
        <v>0</v>
      </c>
      <c r="J59" s="6">
        <f>'By Lot - West Campus'!L1806</f>
        <v>1</v>
      </c>
      <c r="K59" s="6">
        <f>'By Lot - West Campus'!M1806</f>
        <v>1</v>
      </c>
      <c r="L59" s="6">
        <f>'By Lot - West Campus'!N1806</f>
        <v>2</v>
      </c>
      <c r="M59" s="31">
        <f>'By Lot - West Campus'!O1806</f>
        <v>3</v>
      </c>
      <c r="N59" s="32"/>
      <c r="O59" s="6"/>
      <c r="P59" s="59"/>
    </row>
    <row r="60" spans="1:16" ht="11.25" customHeight="1" x14ac:dyDescent="0.4">
      <c r="A60" s="17"/>
      <c r="B60" s="17" t="s">
        <v>429</v>
      </c>
      <c r="C60" s="17">
        <f>'By Lot - West Campus'!E1807</f>
        <v>3</v>
      </c>
      <c r="D60" s="32">
        <f>'By Lot - West Campus'!F1807</f>
        <v>3</v>
      </c>
      <c r="E60" s="6">
        <f>'By Lot - West Campus'!G1807</f>
        <v>2</v>
      </c>
      <c r="F60" s="6">
        <f>'By Lot - West Campus'!H1807</f>
        <v>0</v>
      </c>
      <c r="G60" s="6">
        <f>'By Lot - West Campus'!I1807</f>
        <v>0</v>
      </c>
      <c r="H60" s="6">
        <f>'By Lot - West Campus'!J1807</f>
        <v>0</v>
      </c>
      <c r="I60" s="6">
        <f>'By Lot - West Campus'!K1807</f>
        <v>0</v>
      </c>
      <c r="J60" s="6">
        <f>'By Lot - West Campus'!L1807</f>
        <v>0</v>
      </c>
      <c r="K60" s="6">
        <f>'By Lot - West Campus'!M1807</f>
        <v>1</v>
      </c>
      <c r="L60" s="6">
        <f>'By Lot - West Campus'!N1807</f>
        <v>1</v>
      </c>
      <c r="M60" s="31">
        <f>'By Lot - West Campus'!O1807</f>
        <v>1</v>
      </c>
      <c r="N60" s="32">
        <f t="shared" ref="N60:N61" si="24">MIN(D60:M60)</f>
        <v>0</v>
      </c>
      <c r="O60" s="6">
        <f t="shared" ref="O60:O61" si="25">C60-N60</f>
        <v>3</v>
      </c>
      <c r="P60" s="59">
        <f t="shared" ref="P60:P61" si="26">O60/C60</f>
        <v>1</v>
      </c>
    </row>
    <row r="61" spans="1:16" ht="11.25" customHeight="1" x14ac:dyDescent="0.4">
      <c r="A61" s="17"/>
      <c r="B61" s="17" t="s">
        <v>372</v>
      </c>
      <c r="C61" s="17">
        <f>'By Lot - West Campus'!E1808</f>
        <v>8</v>
      </c>
      <c r="D61" s="32">
        <f>'By Lot - West Campus'!F1808</f>
        <v>3</v>
      </c>
      <c r="E61" s="6">
        <f>'By Lot - West Campus'!G1808</f>
        <v>2</v>
      </c>
      <c r="F61" s="6">
        <f>'By Lot - West Campus'!H1808</f>
        <v>0</v>
      </c>
      <c r="G61" s="6">
        <f>'By Lot - West Campus'!I1808</f>
        <v>0</v>
      </c>
      <c r="H61" s="6">
        <f>'By Lot - West Campus'!J1808</f>
        <v>0</v>
      </c>
      <c r="I61" s="6">
        <f>'By Lot - West Campus'!K1808</f>
        <v>1</v>
      </c>
      <c r="J61" s="6">
        <f>'By Lot - West Campus'!L1808</f>
        <v>1</v>
      </c>
      <c r="K61" s="6">
        <f>'By Lot - West Campus'!M1808</f>
        <v>1</v>
      </c>
      <c r="L61" s="6">
        <f>'By Lot - West Campus'!N1808</f>
        <v>2</v>
      </c>
      <c r="M61" s="31">
        <f>'By Lot - West Campus'!O1808</f>
        <v>6</v>
      </c>
      <c r="N61" s="32">
        <f t="shared" si="24"/>
        <v>0</v>
      </c>
      <c r="O61" s="6">
        <f t="shared" si="25"/>
        <v>8</v>
      </c>
      <c r="P61" s="59">
        <f t="shared" si="26"/>
        <v>1</v>
      </c>
    </row>
    <row r="62" spans="1:16" ht="11.25" customHeight="1" x14ac:dyDescent="0.4">
      <c r="A62" s="17"/>
      <c r="B62" s="17" t="s">
        <v>556</v>
      </c>
      <c r="C62" s="17">
        <f>'By Lot - West Campus'!E1809</f>
        <v>0</v>
      </c>
      <c r="D62" s="32">
        <f>'By Lot - West Campus'!F1809</f>
        <v>0</v>
      </c>
      <c r="E62" s="6">
        <f>'By Lot - West Campus'!G1809</f>
        <v>0</v>
      </c>
      <c r="F62" s="6">
        <f>'By Lot - West Campus'!H1809</f>
        <v>0</v>
      </c>
      <c r="G62" s="6">
        <f>'By Lot - West Campus'!I1809</f>
        <v>0</v>
      </c>
      <c r="H62" s="6">
        <f>'By Lot - West Campus'!J1809</f>
        <v>0</v>
      </c>
      <c r="I62" s="6">
        <f>'By Lot - West Campus'!K1809</f>
        <v>0</v>
      </c>
      <c r="J62" s="6">
        <f>'By Lot - West Campus'!L1809</f>
        <v>0</v>
      </c>
      <c r="K62" s="6">
        <f>'By Lot - West Campus'!M1809</f>
        <v>0</v>
      </c>
      <c r="L62" s="6">
        <f>'By Lot - West Campus'!N1809</f>
        <v>0</v>
      </c>
      <c r="M62" s="31">
        <f>'By Lot - West Campus'!O1809</f>
        <v>0</v>
      </c>
      <c r="N62" s="32"/>
      <c r="O62" s="6"/>
      <c r="P62" s="59"/>
    </row>
    <row r="63" spans="1:16" ht="11.25" customHeight="1" x14ac:dyDescent="0.4">
      <c r="A63" s="17"/>
      <c r="B63" s="17" t="s">
        <v>374</v>
      </c>
      <c r="C63" s="17">
        <f>'By Lot - West Campus'!E1810</f>
        <v>0</v>
      </c>
      <c r="D63" s="32">
        <f>'By Lot - West Campus'!F1810</f>
        <v>0</v>
      </c>
      <c r="E63" s="6">
        <f>'By Lot - West Campus'!G1810</f>
        <v>0</v>
      </c>
      <c r="F63" s="6">
        <f>'By Lot - West Campus'!H1810</f>
        <v>0</v>
      </c>
      <c r="G63" s="6">
        <f>'By Lot - West Campus'!I1810</f>
        <v>0</v>
      </c>
      <c r="H63" s="6">
        <f>'By Lot - West Campus'!J1810</f>
        <v>0</v>
      </c>
      <c r="I63" s="6">
        <f>'By Lot - West Campus'!K1810</f>
        <v>0</v>
      </c>
      <c r="J63" s="6">
        <f>'By Lot - West Campus'!L1810</f>
        <v>0</v>
      </c>
      <c r="K63" s="6">
        <f>'By Lot - West Campus'!M1810</f>
        <v>0</v>
      </c>
      <c r="L63" s="6">
        <f>'By Lot - West Campus'!N1810</f>
        <v>0</v>
      </c>
      <c r="M63" s="31">
        <f>'By Lot - West Campus'!O1810</f>
        <v>0</v>
      </c>
      <c r="N63" s="32"/>
      <c r="O63" s="6"/>
      <c r="P63" s="59"/>
    </row>
    <row r="64" spans="1:16" ht="11.25" customHeight="1" x14ac:dyDescent="0.4">
      <c r="A64" s="17"/>
      <c r="B64" s="17" t="s">
        <v>374</v>
      </c>
      <c r="C64" s="17">
        <f>'By Lot - West Campus'!E1811</f>
        <v>0</v>
      </c>
      <c r="D64" s="32">
        <f>'By Lot - West Campus'!F1811</f>
        <v>0</v>
      </c>
      <c r="E64" s="6">
        <f>'By Lot - West Campus'!G1811</f>
        <v>0</v>
      </c>
      <c r="F64" s="6">
        <f>'By Lot - West Campus'!H1811</f>
        <v>0</v>
      </c>
      <c r="G64" s="6">
        <f>'By Lot - West Campus'!I1811</f>
        <v>0</v>
      </c>
      <c r="H64" s="6">
        <f>'By Lot - West Campus'!J1811</f>
        <v>0</v>
      </c>
      <c r="I64" s="6">
        <f>'By Lot - West Campus'!K1811</f>
        <v>0</v>
      </c>
      <c r="J64" s="6">
        <f>'By Lot - West Campus'!L1811</f>
        <v>0</v>
      </c>
      <c r="K64" s="6">
        <f>'By Lot - West Campus'!M1811</f>
        <v>0</v>
      </c>
      <c r="L64" s="6">
        <f>'By Lot - West Campus'!N1811</f>
        <v>0</v>
      </c>
      <c r="M64" s="31">
        <f>'By Lot - West Campus'!O1811</f>
        <v>0</v>
      </c>
      <c r="N64" s="32"/>
      <c r="O64" s="6"/>
      <c r="P64" s="59"/>
    </row>
    <row r="65" spans="1:16" ht="11.25" customHeight="1" x14ac:dyDescent="0.4">
      <c r="A65" s="17"/>
      <c r="B65" s="17" t="s">
        <v>374</v>
      </c>
      <c r="C65" s="17">
        <f>'By Lot - West Campus'!E1812</f>
        <v>0</v>
      </c>
      <c r="D65" s="32">
        <f>'By Lot - West Campus'!F1812</f>
        <v>0</v>
      </c>
      <c r="E65" s="6">
        <f>'By Lot - West Campus'!G1812</f>
        <v>0</v>
      </c>
      <c r="F65" s="6">
        <f>'By Lot - West Campus'!H1812</f>
        <v>0</v>
      </c>
      <c r="G65" s="6">
        <f>'By Lot - West Campus'!I1812</f>
        <v>0</v>
      </c>
      <c r="H65" s="6">
        <f>'By Lot - West Campus'!J1812</f>
        <v>0</v>
      </c>
      <c r="I65" s="6">
        <f>'By Lot - West Campus'!K1812</f>
        <v>0</v>
      </c>
      <c r="J65" s="6">
        <f>'By Lot - West Campus'!L1812</f>
        <v>0</v>
      </c>
      <c r="K65" s="6">
        <f>'By Lot - West Campus'!M1812</f>
        <v>0</v>
      </c>
      <c r="L65" s="6">
        <f>'By Lot - West Campus'!N1812</f>
        <v>0</v>
      </c>
      <c r="M65" s="31">
        <f>'By Lot - West Campus'!O1812</f>
        <v>0</v>
      </c>
      <c r="N65" s="32"/>
      <c r="O65" s="6"/>
      <c r="P65" s="59"/>
    </row>
    <row r="66" spans="1:16" ht="11.25" customHeight="1" x14ac:dyDescent="0.4">
      <c r="A66" s="17"/>
      <c r="B66" s="17" t="s">
        <v>310</v>
      </c>
      <c r="C66" s="17">
        <f>'By Lot - West Campus'!E1813</f>
        <v>6</v>
      </c>
      <c r="D66" s="32">
        <f>'By Lot - West Campus'!F1813</f>
        <v>4</v>
      </c>
      <c r="E66" s="6">
        <f>'By Lot - West Campus'!G1813</f>
        <v>2</v>
      </c>
      <c r="F66" s="6">
        <f>'By Lot - West Campus'!H1813</f>
        <v>1</v>
      </c>
      <c r="G66" s="6">
        <f>'By Lot - West Campus'!I1813</f>
        <v>1</v>
      </c>
      <c r="H66" s="6">
        <f>'By Lot - West Campus'!J1813</f>
        <v>2</v>
      </c>
      <c r="I66" s="6">
        <f>'By Lot - West Campus'!K1813</f>
        <v>2</v>
      </c>
      <c r="J66" s="6">
        <f>'By Lot - West Campus'!L1813</f>
        <v>2</v>
      </c>
      <c r="K66" s="6">
        <f>'By Lot - West Campus'!M1813</f>
        <v>1</v>
      </c>
      <c r="L66" s="6">
        <f>'By Lot - West Campus'!N1813</f>
        <v>3</v>
      </c>
      <c r="M66" s="31">
        <f>'By Lot - West Campus'!O1813</f>
        <v>5</v>
      </c>
      <c r="N66" s="32">
        <f t="shared" ref="N66:N67" si="27">MIN(D66:M66)</f>
        <v>1</v>
      </c>
      <c r="O66" s="6">
        <f t="shared" ref="O66:O67" si="28">C66-N66</f>
        <v>5</v>
      </c>
      <c r="P66" s="59">
        <f t="shared" ref="P66:P67" si="29">O66/C66</f>
        <v>0.83333333333333337</v>
      </c>
    </row>
    <row r="67" spans="1:16" ht="11.25" customHeight="1" x14ac:dyDescent="0.4">
      <c r="A67" s="17"/>
      <c r="B67" s="17" t="s">
        <v>456</v>
      </c>
      <c r="C67" s="17">
        <f>'By Lot - West Campus'!E1814</f>
        <v>2</v>
      </c>
      <c r="D67" s="32">
        <f>'By Lot - West Campus'!F1814</f>
        <v>2</v>
      </c>
      <c r="E67" s="6">
        <f>'By Lot - West Campus'!G1814</f>
        <v>2</v>
      </c>
      <c r="F67" s="6">
        <f>'By Lot - West Campus'!H1814</f>
        <v>2</v>
      </c>
      <c r="G67" s="6">
        <f>'By Lot - West Campus'!I1814</f>
        <v>1</v>
      </c>
      <c r="H67" s="6">
        <f>'By Lot - West Campus'!J1814</f>
        <v>1</v>
      </c>
      <c r="I67" s="6">
        <f>'By Lot - West Campus'!K1814</f>
        <v>1</v>
      </c>
      <c r="J67" s="6">
        <f>'By Lot - West Campus'!L1814</f>
        <v>1</v>
      </c>
      <c r="K67" s="6">
        <f>'By Lot - West Campus'!M1814</f>
        <v>1</v>
      </c>
      <c r="L67" s="6">
        <f>'By Lot - West Campus'!N1814</f>
        <v>1</v>
      </c>
      <c r="M67" s="31">
        <f>'By Lot - West Campus'!O1814</f>
        <v>1</v>
      </c>
      <c r="N67" s="32">
        <f t="shared" si="27"/>
        <v>1</v>
      </c>
      <c r="O67" s="6">
        <f t="shared" si="28"/>
        <v>1</v>
      </c>
      <c r="P67" s="59">
        <f t="shared" si="29"/>
        <v>0.5</v>
      </c>
    </row>
    <row r="68" spans="1:16" ht="11.25" customHeight="1" x14ac:dyDescent="0.4">
      <c r="A68" s="17"/>
      <c r="B68" s="17" t="s">
        <v>312</v>
      </c>
      <c r="C68" s="17">
        <f>'By Lot - West Campus'!E1815</f>
        <v>0</v>
      </c>
      <c r="D68" s="32">
        <f>'By Lot - West Campus'!F1815</f>
        <v>0</v>
      </c>
      <c r="E68" s="6">
        <f>'By Lot - West Campus'!G1815</f>
        <v>0</v>
      </c>
      <c r="F68" s="6">
        <f>'By Lot - West Campus'!H1815</f>
        <v>0</v>
      </c>
      <c r="G68" s="6">
        <f>'By Lot - West Campus'!I1815</f>
        <v>0</v>
      </c>
      <c r="H68" s="6">
        <f>'By Lot - West Campus'!J1815</f>
        <v>0</v>
      </c>
      <c r="I68" s="6">
        <f>'By Lot - West Campus'!K1815</f>
        <v>0</v>
      </c>
      <c r="J68" s="6">
        <f>'By Lot - West Campus'!L1815</f>
        <v>0</v>
      </c>
      <c r="K68" s="6">
        <f>'By Lot - West Campus'!M1815</f>
        <v>0</v>
      </c>
      <c r="L68" s="6">
        <f>'By Lot - West Campus'!N1815</f>
        <v>0</v>
      </c>
      <c r="M68" s="31">
        <f>'By Lot - West Campus'!O1815</f>
        <v>0</v>
      </c>
      <c r="N68" s="32"/>
      <c r="O68" s="6"/>
      <c r="P68" s="59"/>
    </row>
    <row r="69" spans="1:16" ht="11.25" customHeight="1" x14ac:dyDescent="0.4">
      <c r="A69" s="17"/>
      <c r="B69" s="17" t="s">
        <v>313</v>
      </c>
      <c r="C69" s="17">
        <f>'By Lot - West Campus'!E1816</f>
        <v>0</v>
      </c>
      <c r="D69" s="32">
        <f>'By Lot - West Campus'!F1816</f>
        <v>0</v>
      </c>
      <c r="E69" s="6">
        <f>'By Lot - West Campus'!G1816</f>
        <v>0</v>
      </c>
      <c r="F69" s="6">
        <f>'By Lot - West Campus'!H1816</f>
        <v>0</v>
      </c>
      <c r="G69" s="6">
        <f>'By Lot - West Campus'!I1816</f>
        <v>0</v>
      </c>
      <c r="H69" s="6">
        <f>'By Lot - West Campus'!J1816</f>
        <v>0</v>
      </c>
      <c r="I69" s="6">
        <f>'By Lot - West Campus'!K1816</f>
        <v>0</v>
      </c>
      <c r="J69" s="6">
        <f>'By Lot - West Campus'!L1816</f>
        <v>0</v>
      </c>
      <c r="K69" s="6">
        <f>'By Lot - West Campus'!M1816</f>
        <v>0</v>
      </c>
      <c r="L69" s="6">
        <f>'By Lot - West Campus'!N1816</f>
        <v>0</v>
      </c>
      <c r="M69" s="31">
        <f>'By Lot - West Campus'!O1816</f>
        <v>0</v>
      </c>
      <c r="N69" s="32"/>
      <c r="O69" s="6"/>
      <c r="P69" s="59"/>
    </row>
    <row r="70" spans="1:16" ht="11.25" customHeight="1" x14ac:dyDescent="0.4">
      <c r="A70" s="34"/>
      <c r="B70" s="65" t="s">
        <v>314</v>
      </c>
      <c r="C70" s="104">
        <f t="shared" ref="C70:M70" si="30">SUM(C54:C69)</f>
        <v>253</v>
      </c>
      <c r="D70" s="104">
        <f t="shared" si="30"/>
        <v>43</v>
      </c>
      <c r="E70" s="128">
        <f t="shared" si="30"/>
        <v>29</v>
      </c>
      <c r="F70" s="128">
        <f t="shared" si="30"/>
        <v>24</v>
      </c>
      <c r="G70" s="128">
        <f t="shared" si="30"/>
        <v>20</v>
      </c>
      <c r="H70" s="128">
        <f t="shared" si="30"/>
        <v>15</v>
      </c>
      <c r="I70" s="128">
        <f t="shared" si="30"/>
        <v>7</v>
      </c>
      <c r="J70" s="128">
        <f t="shared" si="30"/>
        <v>8</v>
      </c>
      <c r="K70" s="128">
        <f t="shared" si="30"/>
        <v>17</v>
      </c>
      <c r="L70" s="128">
        <f t="shared" si="30"/>
        <v>71</v>
      </c>
      <c r="M70" s="129">
        <f t="shared" si="30"/>
        <v>145</v>
      </c>
      <c r="N70" s="128">
        <f t="shared" ref="N70:N72" si="31">MIN(D70:M70)</f>
        <v>7</v>
      </c>
      <c r="O70" s="128">
        <f t="shared" ref="O70:O72" si="32">C70-N70</f>
        <v>246</v>
      </c>
      <c r="P70" s="72">
        <f t="shared" ref="P70:P72" si="33">O70/C70</f>
        <v>0.97233201581027673</v>
      </c>
    </row>
    <row r="71" spans="1:16" ht="11.25" customHeight="1" x14ac:dyDescent="0.4">
      <c r="A71" s="15" t="s">
        <v>216</v>
      </c>
      <c r="B71" s="15" t="s">
        <v>300</v>
      </c>
      <c r="C71" s="15">
        <f>'By Lot - West Campus'!E1818</f>
        <v>156</v>
      </c>
      <c r="D71" s="32">
        <f>'By Lot - West Campus'!F1818</f>
        <v>102</v>
      </c>
      <c r="E71" s="6">
        <f>'By Lot - West Campus'!G1818</f>
        <v>0</v>
      </c>
      <c r="F71" s="6">
        <f>'By Lot - West Campus'!H1818</f>
        <v>0</v>
      </c>
      <c r="G71" s="6">
        <f>'By Lot - West Campus'!I1818</f>
        <v>0</v>
      </c>
      <c r="H71" s="6">
        <f>'By Lot - West Campus'!J1818</f>
        <v>0</v>
      </c>
      <c r="I71" s="6">
        <f>'By Lot - West Campus'!K1818</f>
        <v>2</v>
      </c>
      <c r="J71" s="6">
        <f>'By Lot - West Campus'!L1818</f>
        <v>3</v>
      </c>
      <c r="K71" s="6">
        <f>'By Lot - West Campus'!M1818</f>
        <v>18</v>
      </c>
      <c r="L71" s="6">
        <f>'By Lot - West Campus'!N1818</f>
        <v>40</v>
      </c>
      <c r="M71" s="31">
        <f>'By Lot - West Campus'!O1818</f>
        <v>69</v>
      </c>
      <c r="N71" s="32">
        <f t="shared" si="31"/>
        <v>0</v>
      </c>
      <c r="O71" s="6">
        <f t="shared" si="32"/>
        <v>156</v>
      </c>
      <c r="P71" s="59">
        <f t="shared" si="33"/>
        <v>1</v>
      </c>
    </row>
    <row r="72" spans="1:16" ht="11.25" customHeight="1" x14ac:dyDescent="0.4">
      <c r="A72" s="17"/>
      <c r="B72" s="17" t="s">
        <v>301</v>
      </c>
      <c r="C72" s="17">
        <f>'By Lot - West Campus'!E1819</f>
        <v>89</v>
      </c>
      <c r="D72" s="32">
        <f>'By Lot - West Campus'!F1819</f>
        <v>0</v>
      </c>
      <c r="E72" s="6">
        <f>'By Lot - West Campus'!G1819</f>
        <v>0</v>
      </c>
      <c r="F72" s="6">
        <f>'By Lot - West Campus'!H1819</f>
        <v>0</v>
      </c>
      <c r="G72" s="6">
        <f>'By Lot - West Campus'!I1819</f>
        <v>0</v>
      </c>
      <c r="H72" s="6">
        <f>'By Lot - West Campus'!J1819</f>
        <v>0</v>
      </c>
      <c r="I72" s="6">
        <f>'By Lot - West Campus'!K1819</f>
        <v>0</v>
      </c>
      <c r="J72" s="6">
        <f>'By Lot - West Campus'!L1819</f>
        <v>0</v>
      </c>
      <c r="K72" s="6">
        <f>'By Lot - West Campus'!M1819</f>
        <v>12</v>
      </c>
      <c r="L72" s="6">
        <f>'By Lot - West Campus'!N1819</f>
        <v>28</v>
      </c>
      <c r="M72" s="31">
        <f>'By Lot - West Campus'!O1819</f>
        <v>59</v>
      </c>
      <c r="N72" s="32">
        <f t="shared" si="31"/>
        <v>0</v>
      </c>
      <c r="O72" s="6">
        <f t="shared" si="32"/>
        <v>89</v>
      </c>
      <c r="P72" s="59">
        <f t="shared" si="33"/>
        <v>1</v>
      </c>
    </row>
    <row r="73" spans="1:16" ht="11.25" customHeight="1" x14ac:dyDescent="0.4">
      <c r="A73" s="17"/>
      <c r="B73" s="17" t="s">
        <v>303</v>
      </c>
      <c r="C73" s="17">
        <f>'By Lot - West Campus'!E1820</f>
        <v>0</v>
      </c>
      <c r="D73" s="32">
        <f>'By Lot - West Campus'!F1820</f>
        <v>0</v>
      </c>
      <c r="E73" s="6">
        <f>'By Lot - West Campus'!G1820</f>
        <v>0</v>
      </c>
      <c r="F73" s="6">
        <f>'By Lot - West Campus'!H1820</f>
        <v>0</v>
      </c>
      <c r="G73" s="6">
        <f>'By Lot - West Campus'!I1820</f>
        <v>0</v>
      </c>
      <c r="H73" s="6">
        <f>'By Lot - West Campus'!J1820</f>
        <v>0</v>
      </c>
      <c r="I73" s="6">
        <f>'By Lot - West Campus'!K1820</f>
        <v>0</v>
      </c>
      <c r="J73" s="6">
        <f>'By Lot - West Campus'!L1820</f>
        <v>0</v>
      </c>
      <c r="K73" s="6">
        <f>'By Lot - West Campus'!M1820</f>
        <v>0</v>
      </c>
      <c r="L73" s="6">
        <f>'By Lot - West Campus'!N1820</f>
        <v>0</v>
      </c>
      <c r="M73" s="31">
        <f>'By Lot - West Campus'!O1820</f>
        <v>0</v>
      </c>
      <c r="N73" s="32"/>
      <c r="O73" s="6"/>
      <c r="P73" s="59"/>
    </row>
    <row r="74" spans="1:16" ht="11.25" customHeight="1" x14ac:dyDescent="0.4">
      <c r="A74" s="17"/>
      <c r="B74" s="17" t="s">
        <v>369</v>
      </c>
      <c r="C74" s="17">
        <f>'By Lot - West Campus'!E1821</f>
        <v>0</v>
      </c>
      <c r="D74" s="32">
        <f>'By Lot - West Campus'!F1821</f>
        <v>0</v>
      </c>
      <c r="E74" s="6">
        <f>'By Lot - West Campus'!G1821</f>
        <v>0</v>
      </c>
      <c r="F74" s="6">
        <f>'By Lot - West Campus'!H1821</f>
        <v>0</v>
      </c>
      <c r="G74" s="6">
        <f>'By Lot - West Campus'!I1821</f>
        <v>0</v>
      </c>
      <c r="H74" s="6">
        <f>'By Lot - West Campus'!J1821</f>
        <v>0</v>
      </c>
      <c r="I74" s="6">
        <f>'By Lot - West Campus'!K1821</f>
        <v>0</v>
      </c>
      <c r="J74" s="6">
        <f>'By Lot - West Campus'!L1821</f>
        <v>0</v>
      </c>
      <c r="K74" s="6">
        <f>'By Lot - West Campus'!M1821</f>
        <v>0</v>
      </c>
      <c r="L74" s="6">
        <f>'By Lot - West Campus'!N1821</f>
        <v>0</v>
      </c>
      <c r="M74" s="31">
        <f>'By Lot - West Campus'!O1821</f>
        <v>0</v>
      </c>
      <c r="N74" s="32"/>
      <c r="O74" s="6"/>
      <c r="P74" s="59"/>
    </row>
    <row r="75" spans="1:16" ht="11.25" customHeight="1" x14ac:dyDescent="0.4">
      <c r="A75" s="17"/>
      <c r="B75" s="17" t="s">
        <v>369</v>
      </c>
      <c r="C75" s="17">
        <f>'By Lot - West Campus'!E1822</f>
        <v>0</v>
      </c>
      <c r="D75" s="32">
        <f>'By Lot - West Campus'!F1822</f>
        <v>0</v>
      </c>
      <c r="E75" s="6">
        <f>'By Lot - West Campus'!G1822</f>
        <v>0</v>
      </c>
      <c r="F75" s="6">
        <f>'By Lot - West Campus'!H1822</f>
        <v>0</v>
      </c>
      <c r="G75" s="6">
        <f>'By Lot - West Campus'!I1822</f>
        <v>0</v>
      </c>
      <c r="H75" s="6">
        <f>'By Lot - West Campus'!J1822</f>
        <v>0</v>
      </c>
      <c r="I75" s="6">
        <f>'By Lot - West Campus'!K1822</f>
        <v>0</v>
      </c>
      <c r="J75" s="6">
        <f>'By Lot - West Campus'!L1822</f>
        <v>0</v>
      </c>
      <c r="K75" s="6">
        <f>'By Lot - West Campus'!M1822</f>
        <v>0</v>
      </c>
      <c r="L75" s="6">
        <f>'By Lot - West Campus'!N1822</f>
        <v>0</v>
      </c>
      <c r="M75" s="31">
        <f>'By Lot - West Campus'!O1822</f>
        <v>0</v>
      </c>
      <c r="N75" s="32"/>
      <c r="O75" s="6"/>
      <c r="P75" s="59"/>
    </row>
    <row r="76" spans="1:16" ht="11.25" customHeight="1" x14ac:dyDescent="0.4">
      <c r="A76" s="17"/>
      <c r="B76" s="17" t="s">
        <v>308</v>
      </c>
      <c r="C76" s="17">
        <f>'By Lot - West Campus'!E1823</f>
        <v>0</v>
      </c>
      <c r="D76" s="32">
        <f>'By Lot - West Campus'!F1823</f>
        <v>0</v>
      </c>
      <c r="E76" s="6">
        <f>'By Lot - West Campus'!G1823</f>
        <v>0</v>
      </c>
      <c r="F76" s="6">
        <f>'By Lot - West Campus'!H1823</f>
        <v>0</v>
      </c>
      <c r="G76" s="6">
        <f>'By Lot - West Campus'!I1823</f>
        <v>0</v>
      </c>
      <c r="H76" s="6">
        <f>'By Lot - West Campus'!J1823</f>
        <v>0</v>
      </c>
      <c r="I76" s="6">
        <f>'By Lot - West Campus'!K1823</f>
        <v>0</v>
      </c>
      <c r="J76" s="6">
        <f>'By Lot - West Campus'!L1823</f>
        <v>0</v>
      </c>
      <c r="K76" s="6">
        <f>'By Lot - West Campus'!M1823</f>
        <v>0</v>
      </c>
      <c r="L76" s="6">
        <f>'By Lot - West Campus'!N1823</f>
        <v>0</v>
      </c>
      <c r="M76" s="31">
        <f>'By Lot - West Campus'!O1823</f>
        <v>0</v>
      </c>
      <c r="N76" s="32"/>
      <c r="O76" s="6"/>
      <c r="P76" s="59"/>
    </row>
    <row r="77" spans="1:16" ht="11.25" customHeight="1" x14ac:dyDescent="0.4">
      <c r="A77" s="17"/>
      <c r="B77" s="17" t="s">
        <v>372</v>
      </c>
      <c r="C77" s="17">
        <f>'By Lot - West Campus'!E1824</f>
        <v>8</v>
      </c>
      <c r="D77" s="32">
        <f>'By Lot - West Campus'!F1824</f>
        <v>7</v>
      </c>
      <c r="E77" s="6">
        <f>'By Lot - West Campus'!G1824</f>
        <v>0</v>
      </c>
      <c r="F77" s="6">
        <f>'By Lot - West Campus'!H1824</f>
        <v>0</v>
      </c>
      <c r="G77" s="6">
        <f>'By Lot - West Campus'!I1824</f>
        <v>0</v>
      </c>
      <c r="H77" s="6">
        <f>'By Lot - West Campus'!J1824</f>
        <v>0</v>
      </c>
      <c r="I77" s="6">
        <f>'By Lot - West Campus'!K1824</f>
        <v>0</v>
      </c>
      <c r="J77" s="6">
        <f>'By Lot - West Campus'!L1824</f>
        <v>2</v>
      </c>
      <c r="K77" s="6">
        <f>'By Lot - West Campus'!M1824</f>
        <v>2</v>
      </c>
      <c r="L77" s="6">
        <f>'By Lot - West Campus'!N1824</f>
        <v>3</v>
      </c>
      <c r="M77" s="31">
        <f>'By Lot - West Campus'!O1824</f>
        <v>5</v>
      </c>
      <c r="N77" s="32">
        <f>MIN(D77:M77)</f>
        <v>0</v>
      </c>
      <c r="O77" s="6">
        <f>C77-N77</f>
        <v>8</v>
      </c>
      <c r="P77" s="59">
        <f>O77/C77</f>
        <v>1</v>
      </c>
    </row>
    <row r="78" spans="1:16" ht="11.25" customHeight="1" x14ac:dyDescent="0.4">
      <c r="A78" s="17"/>
      <c r="B78" s="17" t="s">
        <v>374</v>
      </c>
      <c r="C78" s="17">
        <f>'By Lot - West Campus'!E1825</f>
        <v>0</v>
      </c>
      <c r="D78" s="32">
        <f>'By Lot - West Campus'!F1825</f>
        <v>0</v>
      </c>
      <c r="E78" s="6">
        <f>'By Lot - West Campus'!G1825</f>
        <v>0</v>
      </c>
      <c r="F78" s="6">
        <f>'By Lot - West Campus'!H1825</f>
        <v>0</v>
      </c>
      <c r="G78" s="6">
        <f>'By Lot - West Campus'!I1825</f>
        <v>0</v>
      </c>
      <c r="H78" s="6">
        <f>'By Lot - West Campus'!J1825</f>
        <v>0</v>
      </c>
      <c r="I78" s="6">
        <f>'By Lot - West Campus'!K1825</f>
        <v>0</v>
      </c>
      <c r="J78" s="6">
        <f>'By Lot - West Campus'!L1825</f>
        <v>0</v>
      </c>
      <c r="K78" s="6">
        <f>'By Lot - West Campus'!M1825</f>
        <v>0</v>
      </c>
      <c r="L78" s="6">
        <f>'By Lot - West Campus'!N1825</f>
        <v>0</v>
      </c>
      <c r="M78" s="31">
        <f>'By Lot - West Campus'!O1825</f>
        <v>0</v>
      </c>
      <c r="N78" s="32"/>
      <c r="O78" s="6"/>
      <c r="P78" s="59"/>
    </row>
    <row r="79" spans="1:16" ht="11.25" customHeight="1" x14ac:dyDescent="0.4">
      <c r="A79" s="17"/>
      <c r="B79" s="17" t="s">
        <v>374</v>
      </c>
      <c r="C79" s="17">
        <f>'By Lot - West Campus'!E1826</f>
        <v>0</v>
      </c>
      <c r="D79" s="32">
        <f>'By Lot - West Campus'!F1826</f>
        <v>0</v>
      </c>
      <c r="E79" s="6">
        <f>'By Lot - West Campus'!G1826</f>
        <v>0</v>
      </c>
      <c r="F79" s="6">
        <f>'By Lot - West Campus'!H1826</f>
        <v>0</v>
      </c>
      <c r="G79" s="6">
        <f>'By Lot - West Campus'!I1826</f>
        <v>0</v>
      </c>
      <c r="H79" s="6">
        <f>'By Lot - West Campus'!J1826</f>
        <v>0</v>
      </c>
      <c r="I79" s="6">
        <f>'By Lot - West Campus'!K1826</f>
        <v>0</v>
      </c>
      <c r="J79" s="6">
        <f>'By Lot - West Campus'!L1826</f>
        <v>0</v>
      </c>
      <c r="K79" s="6">
        <f>'By Lot - West Campus'!M1826</f>
        <v>0</v>
      </c>
      <c r="L79" s="6">
        <f>'By Lot - West Campus'!N1826</f>
        <v>0</v>
      </c>
      <c r="M79" s="31">
        <f>'By Lot - West Campus'!O1826</f>
        <v>0</v>
      </c>
      <c r="N79" s="32"/>
      <c r="O79" s="6"/>
      <c r="P79" s="59"/>
    </row>
    <row r="80" spans="1:16" ht="11.25" customHeight="1" x14ac:dyDescent="0.4">
      <c r="A80" s="17"/>
      <c r="B80" s="17" t="s">
        <v>374</v>
      </c>
      <c r="C80" s="17">
        <f>'By Lot - West Campus'!E1827</f>
        <v>0</v>
      </c>
      <c r="D80" s="32">
        <f>'By Lot - West Campus'!F1827</f>
        <v>0</v>
      </c>
      <c r="E80" s="6">
        <f>'By Lot - West Campus'!G1827</f>
        <v>0</v>
      </c>
      <c r="F80" s="6">
        <f>'By Lot - West Campus'!H1827</f>
        <v>0</v>
      </c>
      <c r="G80" s="6">
        <f>'By Lot - West Campus'!I1827</f>
        <v>0</v>
      </c>
      <c r="H80" s="6">
        <f>'By Lot - West Campus'!J1827</f>
        <v>0</v>
      </c>
      <c r="I80" s="6">
        <f>'By Lot - West Campus'!K1827</f>
        <v>0</v>
      </c>
      <c r="J80" s="6">
        <f>'By Lot - West Campus'!L1827</f>
        <v>0</v>
      </c>
      <c r="K80" s="6">
        <f>'By Lot - West Campus'!M1827</f>
        <v>0</v>
      </c>
      <c r="L80" s="6">
        <f>'By Lot - West Campus'!N1827</f>
        <v>0</v>
      </c>
      <c r="M80" s="31">
        <f>'By Lot - West Campus'!O1827</f>
        <v>0</v>
      </c>
      <c r="N80" s="32"/>
      <c r="O80" s="6"/>
      <c r="P80" s="59"/>
    </row>
    <row r="81" spans="1:16" ht="11.25" customHeight="1" x14ac:dyDescent="0.4">
      <c r="A81" s="17"/>
      <c r="B81" s="17" t="s">
        <v>374</v>
      </c>
      <c r="C81" s="17">
        <f>'By Lot - West Campus'!E1828</f>
        <v>0</v>
      </c>
      <c r="D81" s="32">
        <f>'By Lot - West Campus'!F1828</f>
        <v>0</v>
      </c>
      <c r="E81" s="6">
        <f>'By Lot - West Campus'!G1828</f>
        <v>0</v>
      </c>
      <c r="F81" s="6">
        <f>'By Lot - West Campus'!H1828</f>
        <v>0</v>
      </c>
      <c r="G81" s="6">
        <f>'By Lot - West Campus'!I1828</f>
        <v>0</v>
      </c>
      <c r="H81" s="6">
        <f>'By Lot - West Campus'!J1828</f>
        <v>0</v>
      </c>
      <c r="I81" s="6">
        <f>'By Lot - West Campus'!K1828</f>
        <v>0</v>
      </c>
      <c r="J81" s="6">
        <f>'By Lot - West Campus'!L1828</f>
        <v>0</v>
      </c>
      <c r="K81" s="6">
        <f>'By Lot - West Campus'!M1828</f>
        <v>0</v>
      </c>
      <c r="L81" s="6">
        <f>'By Lot - West Campus'!N1828</f>
        <v>0</v>
      </c>
      <c r="M81" s="31">
        <f>'By Lot - West Campus'!O1828</f>
        <v>0</v>
      </c>
      <c r="N81" s="32"/>
      <c r="O81" s="6"/>
      <c r="P81" s="59"/>
    </row>
    <row r="82" spans="1:16" ht="11.25" customHeight="1" x14ac:dyDescent="0.4">
      <c r="A82" s="17"/>
      <c r="B82" s="17" t="s">
        <v>374</v>
      </c>
      <c r="C82" s="17">
        <f>'By Lot - West Campus'!E1829</f>
        <v>0</v>
      </c>
      <c r="D82" s="32">
        <f>'By Lot - West Campus'!F1829</f>
        <v>0</v>
      </c>
      <c r="E82" s="6">
        <f>'By Lot - West Campus'!G1829</f>
        <v>0</v>
      </c>
      <c r="F82" s="6">
        <f>'By Lot - West Campus'!H1829</f>
        <v>0</v>
      </c>
      <c r="G82" s="6">
        <f>'By Lot - West Campus'!I1829</f>
        <v>0</v>
      </c>
      <c r="H82" s="6">
        <f>'By Lot - West Campus'!J1829</f>
        <v>0</v>
      </c>
      <c r="I82" s="6">
        <f>'By Lot - West Campus'!K1829</f>
        <v>0</v>
      </c>
      <c r="J82" s="6">
        <f>'By Lot - West Campus'!L1829</f>
        <v>0</v>
      </c>
      <c r="K82" s="6">
        <f>'By Lot - West Campus'!M1829</f>
        <v>0</v>
      </c>
      <c r="L82" s="6">
        <f>'By Lot - West Campus'!N1829</f>
        <v>0</v>
      </c>
      <c r="M82" s="31">
        <f>'By Lot - West Campus'!O1829</f>
        <v>0</v>
      </c>
      <c r="N82" s="32"/>
      <c r="O82" s="6"/>
      <c r="P82" s="59"/>
    </row>
    <row r="83" spans="1:16" ht="11.25" customHeight="1" x14ac:dyDescent="0.4">
      <c r="A83" s="17"/>
      <c r="B83" s="17" t="s">
        <v>310</v>
      </c>
      <c r="C83" s="17">
        <f>'By Lot - West Campus'!E1830</f>
        <v>6</v>
      </c>
      <c r="D83" s="32">
        <f>'By Lot - West Campus'!F1830</f>
        <v>6</v>
      </c>
      <c r="E83" s="6">
        <f>'By Lot - West Campus'!G1830</f>
        <v>5</v>
      </c>
      <c r="F83" s="6">
        <f>'By Lot - West Campus'!H1830</f>
        <v>1</v>
      </c>
      <c r="G83" s="6">
        <f>'By Lot - West Campus'!I1830</f>
        <v>3</v>
      </c>
      <c r="H83" s="6">
        <f>'By Lot - West Campus'!J1830</f>
        <v>3</v>
      </c>
      <c r="I83" s="6">
        <f>'By Lot - West Campus'!K1830</f>
        <v>3</v>
      </c>
      <c r="J83" s="6">
        <f>'By Lot - West Campus'!L1830</f>
        <v>3</v>
      </c>
      <c r="K83" s="6">
        <f>'By Lot - West Campus'!M1830</f>
        <v>3</v>
      </c>
      <c r="L83" s="6">
        <f>'By Lot - West Campus'!N1830</f>
        <v>4</v>
      </c>
      <c r="M83" s="31">
        <f>'By Lot - West Campus'!O1830</f>
        <v>4</v>
      </c>
      <c r="N83" s="32">
        <f t="shared" ref="N83:N84" si="34">MIN(D83:M83)</f>
        <v>1</v>
      </c>
      <c r="O83" s="6">
        <f t="shared" ref="O83:O84" si="35">C83-N83</f>
        <v>5</v>
      </c>
      <c r="P83" s="59">
        <f t="shared" ref="P83:P84" si="36">O83/C83</f>
        <v>0.83333333333333337</v>
      </c>
    </row>
    <row r="84" spans="1:16" ht="11.25" customHeight="1" x14ac:dyDescent="0.4">
      <c r="A84" s="17"/>
      <c r="B84" s="17" t="s">
        <v>456</v>
      </c>
      <c r="C84" s="17">
        <f>'By Lot - West Campus'!E1831</f>
        <v>2</v>
      </c>
      <c r="D84" s="32">
        <f>'By Lot - West Campus'!F1831</f>
        <v>2</v>
      </c>
      <c r="E84" s="6">
        <f>'By Lot - West Campus'!G1831</f>
        <v>2</v>
      </c>
      <c r="F84" s="6">
        <f>'By Lot - West Campus'!H1831</f>
        <v>2</v>
      </c>
      <c r="G84" s="6">
        <f>'By Lot - West Campus'!I1831</f>
        <v>2</v>
      </c>
      <c r="H84" s="6">
        <f>'By Lot - West Campus'!J1831</f>
        <v>2</v>
      </c>
      <c r="I84" s="6">
        <f>'By Lot - West Campus'!K1831</f>
        <v>2</v>
      </c>
      <c r="J84" s="6">
        <f>'By Lot - West Campus'!L1831</f>
        <v>2</v>
      </c>
      <c r="K84" s="6">
        <f>'By Lot - West Campus'!M1831</f>
        <v>2</v>
      </c>
      <c r="L84" s="6">
        <f>'By Lot - West Campus'!N1831</f>
        <v>2</v>
      </c>
      <c r="M84" s="31">
        <f>'By Lot - West Campus'!O1831</f>
        <v>2</v>
      </c>
      <c r="N84" s="32">
        <f t="shared" si="34"/>
        <v>2</v>
      </c>
      <c r="O84" s="6">
        <f t="shared" si="35"/>
        <v>0</v>
      </c>
      <c r="P84" s="59">
        <f t="shared" si="36"/>
        <v>0</v>
      </c>
    </row>
    <row r="85" spans="1:16" ht="11.25" customHeight="1" x14ac:dyDescent="0.4">
      <c r="A85" s="17"/>
      <c r="B85" s="17" t="s">
        <v>312</v>
      </c>
      <c r="C85" s="17">
        <f>'By Lot - West Campus'!E1832</f>
        <v>0</v>
      </c>
      <c r="D85" s="32">
        <f>'By Lot - West Campus'!F1832</f>
        <v>0</v>
      </c>
      <c r="E85" s="6">
        <f>'By Lot - West Campus'!G1832</f>
        <v>0</v>
      </c>
      <c r="F85" s="6">
        <f>'By Lot - West Campus'!H1832</f>
        <v>0</v>
      </c>
      <c r="G85" s="6">
        <f>'By Lot - West Campus'!I1832</f>
        <v>0</v>
      </c>
      <c r="H85" s="6">
        <f>'By Lot - West Campus'!J1832</f>
        <v>0</v>
      </c>
      <c r="I85" s="6">
        <f>'By Lot - West Campus'!K1832</f>
        <v>0</v>
      </c>
      <c r="J85" s="6">
        <f>'By Lot - West Campus'!L1832</f>
        <v>0</v>
      </c>
      <c r="K85" s="6">
        <f>'By Lot - West Campus'!M1832</f>
        <v>0</v>
      </c>
      <c r="L85" s="6">
        <f>'By Lot - West Campus'!N1832</f>
        <v>0</v>
      </c>
      <c r="M85" s="31">
        <f>'By Lot - West Campus'!O1832</f>
        <v>0</v>
      </c>
      <c r="N85" s="32"/>
      <c r="O85" s="6"/>
      <c r="P85" s="59"/>
    </row>
    <row r="86" spans="1:16" ht="11.25" customHeight="1" x14ac:dyDescent="0.4">
      <c r="A86" s="17"/>
      <c r="B86" s="17" t="s">
        <v>313</v>
      </c>
      <c r="C86" s="17">
        <f>'By Lot - West Campus'!E1833</f>
        <v>0</v>
      </c>
      <c r="D86" s="32">
        <f>'By Lot - West Campus'!F1833</f>
        <v>0</v>
      </c>
      <c r="E86" s="6">
        <f>'By Lot - West Campus'!G1833</f>
        <v>0</v>
      </c>
      <c r="F86" s="6">
        <f>'By Lot - West Campus'!H1833</f>
        <v>0</v>
      </c>
      <c r="G86" s="6">
        <f>'By Lot - West Campus'!I1833</f>
        <v>0</v>
      </c>
      <c r="H86" s="6">
        <f>'By Lot - West Campus'!J1833</f>
        <v>0</v>
      </c>
      <c r="I86" s="6">
        <f>'By Lot - West Campus'!K1833</f>
        <v>0</v>
      </c>
      <c r="J86" s="6">
        <f>'By Lot - West Campus'!L1833</f>
        <v>0</v>
      </c>
      <c r="K86" s="6">
        <f>'By Lot - West Campus'!M1833</f>
        <v>0</v>
      </c>
      <c r="L86" s="6">
        <f>'By Lot - West Campus'!N1833</f>
        <v>0</v>
      </c>
      <c r="M86" s="31">
        <f>'By Lot - West Campus'!O1833</f>
        <v>0</v>
      </c>
      <c r="N86" s="32"/>
      <c r="O86" s="6"/>
      <c r="P86" s="59"/>
    </row>
    <row r="87" spans="1:16" ht="11.25" customHeight="1" x14ac:dyDescent="0.4">
      <c r="A87" s="34"/>
      <c r="B87" s="65" t="s">
        <v>314</v>
      </c>
      <c r="C87" s="65">
        <f t="shared" ref="C87:M87" si="37">SUM(C71:C86)</f>
        <v>261</v>
      </c>
      <c r="D87" s="104">
        <f t="shared" si="37"/>
        <v>117</v>
      </c>
      <c r="E87" s="128">
        <f t="shared" si="37"/>
        <v>7</v>
      </c>
      <c r="F87" s="128">
        <f t="shared" si="37"/>
        <v>3</v>
      </c>
      <c r="G87" s="128">
        <f t="shared" si="37"/>
        <v>5</v>
      </c>
      <c r="H87" s="128">
        <f t="shared" si="37"/>
        <v>5</v>
      </c>
      <c r="I87" s="128">
        <f t="shared" si="37"/>
        <v>7</v>
      </c>
      <c r="J87" s="128">
        <f t="shared" si="37"/>
        <v>10</v>
      </c>
      <c r="K87" s="128">
        <f t="shared" si="37"/>
        <v>37</v>
      </c>
      <c r="L87" s="128">
        <f t="shared" si="37"/>
        <v>77</v>
      </c>
      <c r="M87" s="129">
        <f t="shared" si="37"/>
        <v>139</v>
      </c>
      <c r="N87" s="104">
        <f>MIN(D87:M87)</f>
        <v>3</v>
      </c>
      <c r="O87" s="128">
        <f>C87-N87</f>
        <v>258</v>
      </c>
      <c r="P87" s="72">
        <f>O87/C87</f>
        <v>0.9885057471264368</v>
      </c>
    </row>
    <row r="88" spans="1:16" ht="11.25" customHeight="1" x14ac:dyDescent="0.4">
      <c r="A88" s="15" t="s">
        <v>221</v>
      </c>
      <c r="B88" s="15" t="s">
        <v>300</v>
      </c>
      <c r="C88" s="15">
        <f>'By Lot - West Campus'!E1835</f>
        <v>0</v>
      </c>
      <c r="D88" s="73">
        <f>'By Lot - West Campus'!F1835</f>
        <v>0</v>
      </c>
      <c r="E88" s="108">
        <f>'By Lot - West Campus'!G1835</f>
        <v>0</v>
      </c>
      <c r="F88" s="108">
        <f>'By Lot - West Campus'!H1835</f>
        <v>0</v>
      </c>
      <c r="G88" s="108">
        <f>'By Lot - West Campus'!I1835</f>
        <v>0</v>
      </c>
      <c r="H88" s="108">
        <f>'By Lot - West Campus'!J1835</f>
        <v>0</v>
      </c>
      <c r="I88" s="108">
        <f>'By Lot - West Campus'!K1835</f>
        <v>0</v>
      </c>
      <c r="J88" s="108">
        <f>'By Lot - West Campus'!L1835</f>
        <v>0</v>
      </c>
      <c r="K88" s="108">
        <f>'By Lot - West Campus'!M1835</f>
        <v>0</v>
      </c>
      <c r="L88" s="108">
        <f>'By Lot - West Campus'!N1835</f>
        <v>0</v>
      </c>
      <c r="M88" s="109">
        <f>'By Lot - West Campus'!O1835</f>
        <v>0</v>
      </c>
      <c r="N88" s="73"/>
      <c r="O88" s="108"/>
      <c r="P88" s="188"/>
    </row>
    <row r="89" spans="1:16" ht="11.25" customHeight="1" x14ac:dyDescent="0.4">
      <c r="A89" s="17"/>
      <c r="B89" s="17" t="s">
        <v>301</v>
      </c>
      <c r="C89" s="17">
        <f>'By Lot - West Campus'!E1836</f>
        <v>254</v>
      </c>
      <c r="D89" s="32">
        <f>'By Lot - West Campus'!F1836</f>
        <v>117</v>
      </c>
      <c r="E89" s="6">
        <f>'By Lot - West Campus'!G1836</f>
        <v>1</v>
      </c>
      <c r="F89" s="6">
        <f>'By Lot - West Campus'!H1836</f>
        <v>0</v>
      </c>
      <c r="G89" s="6">
        <f>'By Lot - West Campus'!I1836</f>
        <v>0</v>
      </c>
      <c r="H89" s="6">
        <f>'By Lot - West Campus'!J1836</f>
        <v>0</v>
      </c>
      <c r="I89" s="6">
        <f>'By Lot - West Campus'!K1836</f>
        <v>0</v>
      </c>
      <c r="J89" s="6">
        <f>'By Lot - West Campus'!L1836</f>
        <v>2</v>
      </c>
      <c r="K89" s="6">
        <f>'By Lot - West Campus'!M1836</f>
        <v>26</v>
      </c>
      <c r="L89" s="6">
        <f>'By Lot - West Campus'!N1836</f>
        <v>77</v>
      </c>
      <c r="M89" s="31">
        <f>'By Lot - West Campus'!O1836</f>
        <v>160</v>
      </c>
      <c r="N89" s="32">
        <f>MIN(D89:M89)</f>
        <v>0</v>
      </c>
      <c r="O89" s="6">
        <f>C89-N89</f>
        <v>254</v>
      </c>
      <c r="P89" s="59">
        <f>O89/C89</f>
        <v>1</v>
      </c>
    </row>
    <row r="90" spans="1:16" ht="11.25" customHeight="1" x14ac:dyDescent="0.4">
      <c r="A90" s="17"/>
      <c r="B90" s="17" t="s">
        <v>303</v>
      </c>
      <c r="C90" s="17">
        <f>'By Lot - West Campus'!E1837</f>
        <v>0</v>
      </c>
      <c r="D90" s="32">
        <f>'By Lot - West Campus'!F1837</f>
        <v>0</v>
      </c>
      <c r="E90" s="6">
        <f>'By Lot - West Campus'!G1837</f>
        <v>0</v>
      </c>
      <c r="F90" s="6">
        <f>'By Lot - West Campus'!H1837</f>
        <v>0</v>
      </c>
      <c r="G90" s="6">
        <f>'By Lot - West Campus'!I1837</f>
        <v>0</v>
      </c>
      <c r="H90" s="6">
        <f>'By Lot - West Campus'!J1837</f>
        <v>0</v>
      </c>
      <c r="I90" s="6">
        <f>'By Lot - West Campus'!K1837</f>
        <v>0</v>
      </c>
      <c r="J90" s="6">
        <f>'By Lot - West Campus'!L1837</f>
        <v>0</v>
      </c>
      <c r="K90" s="6">
        <f>'By Lot - West Campus'!M1837</f>
        <v>0</v>
      </c>
      <c r="L90" s="6">
        <f>'By Lot - West Campus'!N1837</f>
        <v>0</v>
      </c>
      <c r="M90" s="31">
        <f>'By Lot - West Campus'!O1837</f>
        <v>0</v>
      </c>
      <c r="N90" s="32"/>
      <c r="O90" s="6"/>
      <c r="P90" s="59"/>
    </row>
    <row r="91" spans="1:16" ht="11.25" customHeight="1" x14ac:dyDescent="0.4">
      <c r="A91" s="17"/>
      <c r="B91" s="17" t="s">
        <v>369</v>
      </c>
      <c r="C91" s="17">
        <f>'By Lot - West Campus'!E1838</f>
        <v>0</v>
      </c>
      <c r="D91" s="32">
        <f>'By Lot - West Campus'!F1838</f>
        <v>0</v>
      </c>
      <c r="E91" s="6">
        <f>'By Lot - West Campus'!G1838</f>
        <v>0</v>
      </c>
      <c r="F91" s="6">
        <f>'By Lot - West Campus'!H1838</f>
        <v>0</v>
      </c>
      <c r="G91" s="6">
        <f>'By Lot - West Campus'!I1838</f>
        <v>0</v>
      </c>
      <c r="H91" s="6">
        <f>'By Lot - West Campus'!J1838</f>
        <v>0</v>
      </c>
      <c r="I91" s="6">
        <f>'By Lot - West Campus'!K1838</f>
        <v>0</v>
      </c>
      <c r="J91" s="6">
        <f>'By Lot - West Campus'!L1838</f>
        <v>0</v>
      </c>
      <c r="K91" s="6">
        <f>'By Lot - West Campus'!M1838</f>
        <v>0</v>
      </c>
      <c r="L91" s="6">
        <f>'By Lot - West Campus'!N1838</f>
        <v>0</v>
      </c>
      <c r="M91" s="31">
        <f>'By Lot - West Campus'!O1838</f>
        <v>0</v>
      </c>
      <c r="N91" s="32"/>
      <c r="O91" s="6"/>
      <c r="P91" s="59"/>
    </row>
    <row r="92" spans="1:16" ht="11.25" customHeight="1" x14ac:dyDescent="0.4">
      <c r="A92" s="17"/>
      <c r="B92" s="17" t="s">
        <v>369</v>
      </c>
      <c r="C92" s="17">
        <f>'By Lot - West Campus'!E1839</f>
        <v>0</v>
      </c>
      <c r="D92" s="32">
        <f>'By Lot - West Campus'!F1839</f>
        <v>0</v>
      </c>
      <c r="E92" s="6">
        <f>'By Lot - West Campus'!G1839</f>
        <v>0</v>
      </c>
      <c r="F92" s="6">
        <f>'By Lot - West Campus'!H1839</f>
        <v>0</v>
      </c>
      <c r="G92" s="6">
        <f>'By Lot - West Campus'!I1839</f>
        <v>0</v>
      </c>
      <c r="H92" s="6">
        <f>'By Lot - West Campus'!J1839</f>
        <v>0</v>
      </c>
      <c r="I92" s="6">
        <f>'By Lot - West Campus'!K1839</f>
        <v>0</v>
      </c>
      <c r="J92" s="6">
        <f>'By Lot - West Campus'!L1839</f>
        <v>0</v>
      </c>
      <c r="K92" s="6">
        <f>'By Lot - West Campus'!M1839</f>
        <v>0</v>
      </c>
      <c r="L92" s="6">
        <f>'By Lot - West Campus'!N1839</f>
        <v>0</v>
      </c>
      <c r="M92" s="31">
        <f>'By Lot - West Campus'!O1839</f>
        <v>0</v>
      </c>
      <c r="N92" s="32"/>
      <c r="O92" s="6"/>
      <c r="P92" s="59"/>
    </row>
    <row r="93" spans="1:16" ht="11.25" customHeight="1" x14ac:dyDescent="0.4">
      <c r="A93" s="17"/>
      <c r="B93" s="17" t="s">
        <v>308</v>
      </c>
      <c r="C93" s="17">
        <f>'By Lot - West Campus'!E1840</f>
        <v>0</v>
      </c>
      <c r="D93" s="32">
        <f>'By Lot - West Campus'!F1840</f>
        <v>0</v>
      </c>
      <c r="E93" s="6">
        <f>'By Lot - West Campus'!G1840</f>
        <v>0</v>
      </c>
      <c r="F93" s="6">
        <f>'By Lot - West Campus'!H1840</f>
        <v>0</v>
      </c>
      <c r="G93" s="6">
        <f>'By Lot - West Campus'!I1840</f>
        <v>0</v>
      </c>
      <c r="H93" s="6">
        <f>'By Lot - West Campus'!J1840</f>
        <v>0</v>
      </c>
      <c r="I93" s="6">
        <f>'By Lot - West Campus'!K1840</f>
        <v>0</v>
      </c>
      <c r="J93" s="6">
        <f>'By Lot - West Campus'!L1840</f>
        <v>0</v>
      </c>
      <c r="K93" s="6">
        <f>'By Lot - West Campus'!M1840</f>
        <v>0</v>
      </c>
      <c r="L93" s="6">
        <f>'By Lot - West Campus'!N1840</f>
        <v>0</v>
      </c>
      <c r="M93" s="31">
        <f>'By Lot - West Campus'!O1840</f>
        <v>0</v>
      </c>
      <c r="N93" s="32"/>
      <c r="O93" s="6"/>
      <c r="P93" s="59"/>
    </row>
    <row r="94" spans="1:16" ht="11.25" customHeight="1" x14ac:dyDescent="0.4">
      <c r="A94" s="17"/>
      <c r="B94" s="17" t="s">
        <v>372</v>
      </c>
      <c r="C94" s="17">
        <f>'By Lot - West Campus'!E1841</f>
        <v>8</v>
      </c>
      <c r="D94" s="32">
        <f>'By Lot - West Campus'!F1841</f>
        <v>7</v>
      </c>
      <c r="E94" s="6">
        <f>'By Lot - West Campus'!G1841</f>
        <v>2</v>
      </c>
      <c r="F94" s="6">
        <f>'By Lot - West Campus'!H1841</f>
        <v>0</v>
      </c>
      <c r="G94" s="6">
        <f>'By Lot - West Campus'!I1841</f>
        <v>0</v>
      </c>
      <c r="H94" s="6">
        <f>'By Lot - West Campus'!J1841</f>
        <v>0</v>
      </c>
      <c r="I94" s="6">
        <f>'By Lot - West Campus'!K1841</f>
        <v>0</v>
      </c>
      <c r="J94" s="6">
        <f>'By Lot - West Campus'!L1841</f>
        <v>1</v>
      </c>
      <c r="K94" s="6">
        <f>'By Lot - West Campus'!M1841</f>
        <v>1</v>
      </c>
      <c r="L94" s="6">
        <f>'By Lot - West Campus'!N1841</f>
        <v>2</v>
      </c>
      <c r="M94" s="31">
        <f>'By Lot - West Campus'!O1841</f>
        <v>3</v>
      </c>
      <c r="N94" s="32">
        <f>MIN(D94:M94)</f>
        <v>0</v>
      </c>
      <c r="O94" s="6">
        <f>C94-N94</f>
        <v>8</v>
      </c>
      <c r="P94" s="59">
        <f>O94/C94</f>
        <v>1</v>
      </c>
    </row>
    <row r="95" spans="1:16" ht="11.25" customHeight="1" x14ac:dyDescent="0.4">
      <c r="A95" s="17"/>
      <c r="B95" s="17" t="s">
        <v>374</v>
      </c>
      <c r="C95" s="17">
        <f>'By Lot - West Campus'!E1842</f>
        <v>0</v>
      </c>
      <c r="D95" s="32">
        <f>'By Lot - West Campus'!F1842</f>
        <v>0</v>
      </c>
      <c r="E95" s="6">
        <f>'By Lot - West Campus'!G1842</f>
        <v>0</v>
      </c>
      <c r="F95" s="6">
        <f>'By Lot - West Campus'!H1842</f>
        <v>0</v>
      </c>
      <c r="G95" s="6">
        <f>'By Lot - West Campus'!I1842</f>
        <v>0</v>
      </c>
      <c r="H95" s="6">
        <f>'By Lot - West Campus'!J1842</f>
        <v>0</v>
      </c>
      <c r="I95" s="6">
        <f>'By Lot - West Campus'!K1842</f>
        <v>0</v>
      </c>
      <c r="J95" s="6">
        <f>'By Lot - West Campus'!L1842</f>
        <v>0</v>
      </c>
      <c r="K95" s="6">
        <f>'By Lot - West Campus'!M1842</f>
        <v>0</v>
      </c>
      <c r="L95" s="6">
        <f>'By Lot - West Campus'!N1842</f>
        <v>0</v>
      </c>
      <c r="M95" s="31">
        <f>'By Lot - West Campus'!O1842</f>
        <v>0</v>
      </c>
      <c r="N95" s="32"/>
      <c r="O95" s="6"/>
      <c r="P95" s="59"/>
    </row>
    <row r="96" spans="1:16" ht="11.25" customHeight="1" x14ac:dyDescent="0.4">
      <c r="A96" s="17"/>
      <c r="B96" s="17" t="s">
        <v>374</v>
      </c>
      <c r="C96" s="17">
        <f>'By Lot - West Campus'!E1843</f>
        <v>0</v>
      </c>
      <c r="D96" s="32">
        <f>'By Lot - West Campus'!F1843</f>
        <v>0</v>
      </c>
      <c r="E96" s="6">
        <f>'By Lot - West Campus'!G1843</f>
        <v>0</v>
      </c>
      <c r="F96" s="6">
        <f>'By Lot - West Campus'!H1843</f>
        <v>0</v>
      </c>
      <c r="G96" s="6">
        <f>'By Lot - West Campus'!I1843</f>
        <v>0</v>
      </c>
      <c r="H96" s="6">
        <f>'By Lot - West Campus'!J1843</f>
        <v>0</v>
      </c>
      <c r="I96" s="6">
        <f>'By Lot - West Campus'!K1843</f>
        <v>0</v>
      </c>
      <c r="J96" s="6">
        <f>'By Lot - West Campus'!L1843</f>
        <v>0</v>
      </c>
      <c r="K96" s="6">
        <f>'By Lot - West Campus'!M1843</f>
        <v>0</v>
      </c>
      <c r="L96" s="6">
        <f>'By Lot - West Campus'!N1843</f>
        <v>0</v>
      </c>
      <c r="M96" s="31">
        <f>'By Lot - West Campus'!O1843</f>
        <v>0</v>
      </c>
      <c r="N96" s="32"/>
      <c r="O96" s="6"/>
      <c r="P96" s="59"/>
    </row>
    <row r="97" spans="1:16" ht="11.25" customHeight="1" x14ac:dyDescent="0.4">
      <c r="A97" s="17"/>
      <c r="B97" s="17" t="s">
        <v>374</v>
      </c>
      <c r="C97" s="17">
        <f>'By Lot - West Campus'!E1844</f>
        <v>0</v>
      </c>
      <c r="D97" s="32">
        <f>'By Lot - West Campus'!F1844</f>
        <v>0</v>
      </c>
      <c r="E97" s="6">
        <f>'By Lot - West Campus'!G1844</f>
        <v>0</v>
      </c>
      <c r="F97" s="6">
        <f>'By Lot - West Campus'!H1844</f>
        <v>0</v>
      </c>
      <c r="G97" s="6">
        <f>'By Lot - West Campus'!I1844</f>
        <v>0</v>
      </c>
      <c r="H97" s="6">
        <f>'By Lot - West Campus'!J1844</f>
        <v>0</v>
      </c>
      <c r="I97" s="6">
        <f>'By Lot - West Campus'!K1844</f>
        <v>0</v>
      </c>
      <c r="J97" s="6">
        <f>'By Lot - West Campus'!L1844</f>
        <v>0</v>
      </c>
      <c r="K97" s="6">
        <f>'By Lot - West Campus'!M1844</f>
        <v>0</v>
      </c>
      <c r="L97" s="6">
        <f>'By Lot - West Campus'!N1844</f>
        <v>0</v>
      </c>
      <c r="M97" s="31">
        <f>'By Lot - West Campus'!O1844</f>
        <v>0</v>
      </c>
      <c r="N97" s="32"/>
      <c r="O97" s="6"/>
      <c r="P97" s="59"/>
    </row>
    <row r="98" spans="1:16" ht="11.25" customHeight="1" x14ac:dyDescent="0.4">
      <c r="A98" s="17"/>
      <c r="B98" s="17" t="s">
        <v>374</v>
      </c>
      <c r="C98" s="17">
        <f>'By Lot - West Campus'!E1845</f>
        <v>0</v>
      </c>
      <c r="D98" s="32">
        <f>'By Lot - West Campus'!F1845</f>
        <v>0</v>
      </c>
      <c r="E98" s="6">
        <f>'By Lot - West Campus'!G1845</f>
        <v>0</v>
      </c>
      <c r="F98" s="6">
        <f>'By Lot - West Campus'!H1845</f>
        <v>0</v>
      </c>
      <c r="G98" s="6">
        <f>'By Lot - West Campus'!I1845</f>
        <v>0</v>
      </c>
      <c r="H98" s="6">
        <f>'By Lot - West Campus'!J1845</f>
        <v>0</v>
      </c>
      <c r="I98" s="6">
        <f>'By Lot - West Campus'!K1845</f>
        <v>0</v>
      </c>
      <c r="J98" s="6">
        <f>'By Lot - West Campus'!L1845</f>
        <v>0</v>
      </c>
      <c r="K98" s="6">
        <f>'By Lot - West Campus'!M1845</f>
        <v>0</v>
      </c>
      <c r="L98" s="6">
        <f>'By Lot - West Campus'!N1845</f>
        <v>0</v>
      </c>
      <c r="M98" s="31">
        <f>'By Lot - West Campus'!O1845</f>
        <v>0</v>
      </c>
      <c r="N98" s="32"/>
      <c r="O98" s="6"/>
      <c r="P98" s="59"/>
    </row>
    <row r="99" spans="1:16" ht="11.25" customHeight="1" x14ac:dyDescent="0.4">
      <c r="A99" s="17"/>
      <c r="B99" s="17" t="s">
        <v>374</v>
      </c>
      <c r="C99" s="17">
        <f>'By Lot - West Campus'!E1846</f>
        <v>0</v>
      </c>
      <c r="D99" s="32">
        <f>'By Lot - West Campus'!F1846</f>
        <v>0</v>
      </c>
      <c r="E99" s="6">
        <f>'By Lot - West Campus'!G1846</f>
        <v>0</v>
      </c>
      <c r="F99" s="6">
        <f>'By Lot - West Campus'!H1846</f>
        <v>0</v>
      </c>
      <c r="G99" s="6">
        <f>'By Lot - West Campus'!I1846</f>
        <v>0</v>
      </c>
      <c r="H99" s="6">
        <f>'By Lot - West Campus'!J1846</f>
        <v>0</v>
      </c>
      <c r="I99" s="6">
        <f>'By Lot - West Campus'!K1846</f>
        <v>0</v>
      </c>
      <c r="J99" s="6">
        <f>'By Lot - West Campus'!L1846</f>
        <v>0</v>
      </c>
      <c r="K99" s="6">
        <f>'By Lot - West Campus'!M1846</f>
        <v>0</v>
      </c>
      <c r="L99" s="6">
        <f>'By Lot - West Campus'!N1846</f>
        <v>0</v>
      </c>
      <c r="M99" s="31">
        <f>'By Lot - West Campus'!O1846</f>
        <v>0</v>
      </c>
      <c r="N99" s="32"/>
      <c r="O99" s="6"/>
      <c r="P99" s="59"/>
    </row>
    <row r="100" spans="1:16" ht="11.25" customHeight="1" x14ac:dyDescent="0.4">
      <c r="A100" s="17"/>
      <c r="B100" s="17" t="s">
        <v>310</v>
      </c>
      <c r="C100" s="17">
        <f>'By Lot - West Campus'!E1847</f>
        <v>5</v>
      </c>
      <c r="D100" s="32">
        <f>'By Lot - West Campus'!F1847</f>
        <v>5</v>
      </c>
      <c r="E100" s="6">
        <f>'By Lot - West Campus'!G1847</f>
        <v>5</v>
      </c>
      <c r="F100" s="6">
        <f>'By Lot - West Campus'!H1847</f>
        <v>4</v>
      </c>
      <c r="G100" s="6">
        <f>'By Lot - West Campus'!I1847</f>
        <v>4</v>
      </c>
      <c r="H100" s="6">
        <f>'By Lot - West Campus'!J1847</f>
        <v>4</v>
      </c>
      <c r="I100" s="6">
        <f>'By Lot - West Campus'!K1847</f>
        <v>4</v>
      </c>
      <c r="J100" s="6">
        <f>'By Lot - West Campus'!L1847</f>
        <v>4</v>
      </c>
      <c r="K100" s="6">
        <f>'By Lot - West Campus'!M1847</f>
        <v>5</v>
      </c>
      <c r="L100" s="6">
        <f>'By Lot - West Campus'!N1847</f>
        <v>5</v>
      </c>
      <c r="M100" s="31">
        <f>'By Lot - West Campus'!O1847</f>
        <v>5</v>
      </c>
      <c r="N100" s="32">
        <f t="shared" ref="N100:N101" si="38">MIN(D100:M100)</f>
        <v>4</v>
      </c>
      <c r="O100" s="6">
        <f t="shared" ref="O100:O101" si="39">C100-N100</f>
        <v>1</v>
      </c>
      <c r="P100" s="59">
        <f t="shared" ref="P100:P101" si="40">O100/C100</f>
        <v>0.2</v>
      </c>
    </row>
    <row r="101" spans="1:16" ht="11.25" customHeight="1" x14ac:dyDescent="0.4">
      <c r="A101" s="17"/>
      <c r="B101" s="17" t="s">
        <v>456</v>
      </c>
      <c r="C101" s="17">
        <f>'By Lot - West Campus'!E1848</f>
        <v>1</v>
      </c>
      <c r="D101" s="32">
        <f>'By Lot - West Campus'!F1848</f>
        <v>1</v>
      </c>
      <c r="E101" s="6">
        <f>'By Lot - West Campus'!G1848</f>
        <v>1</v>
      </c>
      <c r="F101" s="6">
        <f>'By Lot - West Campus'!H1848</f>
        <v>1</v>
      </c>
      <c r="G101" s="6">
        <f>'By Lot - West Campus'!I1848</f>
        <v>1</v>
      </c>
      <c r="H101" s="6">
        <f>'By Lot - West Campus'!J1848</f>
        <v>1</v>
      </c>
      <c r="I101" s="6">
        <f>'By Lot - West Campus'!K1848</f>
        <v>1</v>
      </c>
      <c r="J101" s="6">
        <f>'By Lot - West Campus'!L1848</f>
        <v>0</v>
      </c>
      <c r="K101" s="6">
        <f>'By Lot - West Campus'!M1848</f>
        <v>1</v>
      </c>
      <c r="L101" s="6">
        <f>'By Lot - West Campus'!N1848</f>
        <v>1</v>
      </c>
      <c r="M101" s="31">
        <f>'By Lot - West Campus'!O1848</f>
        <v>1</v>
      </c>
      <c r="N101" s="32">
        <f t="shared" si="38"/>
        <v>0</v>
      </c>
      <c r="O101" s="6">
        <f t="shared" si="39"/>
        <v>1</v>
      </c>
      <c r="P101" s="59">
        <f t="shared" si="40"/>
        <v>1</v>
      </c>
    </row>
    <row r="102" spans="1:16" ht="11.25" customHeight="1" x14ac:dyDescent="0.4">
      <c r="A102" s="17"/>
      <c r="B102" s="17" t="s">
        <v>312</v>
      </c>
      <c r="C102" s="17">
        <f>'By Lot - West Campus'!E1849</f>
        <v>0</v>
      </c>
      <c r="D102" s="32">
        <f>'By Lot - West Campus'!F1849</f>
        <v>0</v>
      </c>
      <c r="E102" s="6">
        <f>'By Lot - West Campus'!G1849</f>
        <v>0</v>
      </c>
      <c r="F102" s="6">
        <f>'By Lot - West Campus'!H1849</f>
        <v>0</v>
      </c>
      <c r="G102" s="6">
        <f>'By Lot - West Campus'!I1849</f>
        <v>0</v>
      </c>
      <c r="H102" s="6">
        <f>'By Lot - West Campus'!J1849</f>
        <v>0</v>
      </c>
      <c r="I102" s="6">
        <f>'By Lot - West Campus'!K1849</f>
        <v>0</v>
      </c>
      <c r="J102" s="6">
        <f>'By Lot - West Campus'!L1849</f>
        <v>0</v>
      </c>
      <c r="K102" s="6">
        <f>'By Lot - West Campus'!M1849</f>
        <v>0</v>
      </c>
      <c r="L102" s="6">
        <f>'By Lot - West Campus'!N1849</f>
        <v>0</v>
      </c>
      <c r="M102" s="31">
        <f>'By Lot - West Campus'!O1849</f>
        <v>0</v>
      </c>
      <c r="N102" s="32"/>
      <c r="O102" s="6"/>
      <c r="P102" s="59"/>
    </row>
    <row r="103" spans="1:16" ht="11.25" customHeight="1" x14ac:dyDescent="0.4">
      <c r="A103" s="17"/>
      <c r="B103" s="17" t="s">
        <v>313</v>
      </c>
      <c r="C103" s="17">
        <f>'By Lot - West Campus'!E1850</f>
        <v>0</v>
      </c>
      <c r="D103" s="32">
        <f>'By Lot - West Campus'!F1850</f>
        <v>0</v>
      </c>
      <c r="E103" s="6">
        <f>'By Lot - West Campus'!G1850</f>
        <v>0</v>
      </c>
      <c r="F103" s="6">
        <f>'By Lot - West Campus'!H1850</f>
        <v>0</v>
      </c>
      <c r="G103" s="6">
        <f>'By Lot - West Campus'!I1850</f>
        <v>0</v>
      </c>
      <c r="H103" s="6">
        <f>'By Lot - West Campus'!J1850</f>
        <v>0</v>
      </c>
      <c r="I103" s="6">
        <f>'By Lot - West Campus'!K1850</f>
        <v>0</v>
      </c>
      <c r="J103" s="6">
        <f>'By Lot - West Campus'!L1850</f>
        <v>0</v>
      </c>
      <c r="K103" s="6">
        <f>'By Lot - West Campus'!M1850</f>
        <v>0</v>
      </c>
      <c r="L103" s="6">
        <f>'By Lot - West Campus'!N1850</f>
        <v>0</v>
      </c>
      <c r="M103" s="31">
        <f>'By Lot - West Campus'!O1850</f>
        <v>0</v>
      </c>
      <c r="N103" s="32"/>
      <c r="O103" s="6"/>
      <c r="P103" s="59"/>
    </row>
    <row r="104" spans="1:16" ht="11.25" customHeight="1" x14ac:dyDescent="0.4">
      <c r="A104" s="34"/>
      <c r="B104" s="65" t="s">
        <v>314</v>
      </c>
      <c r="C104" s="65">
        <f t="shared" ref="C104:M104" si="41">SUM(C88:C103)</f>
        <v>268</v>
      </c>
      <c r="D104" s="104">
        <f t="shared" si="41"/>
        <v>130</v>
      </c>
      <c r="E104" s="128">
        <f t="shared" si="41"/>
        <v>9</v>
      </c>
      <c r="F104" s="128">
        <f t="shared" si="41"/>
        <v>5</v>
      </c>
      <c r="G104" s="128">
        <f t="shared" si="41"/>
        <v>5</v>
      </c>
      <c r="H104" s="128">
        <f t="shared" si="41"/>
        <v>5</v>
      </c>
      <c r="I104" s="128">
        <f t="shared" si="41"/>
        <v>5</v>
      </c>
      <c r="J104" s="128">
        <f t="shared" si="41"/>
        <v>7</v>
      </c>
      <c r="K104" s="128">
        <f t="shared" si="41"/>
        <v>33</v>
      </c>
      <c r="L104" s="128">
        <f t="shared" si="41"/>
        <v>85</v>
      </c>
      <c r="M104" s="129">
        <f t="shared" si="41"/>
        <v>169</v>
      </c>
      <c r="N104" s="104">
        <f>MIN(D104:M104)</f>
        <v>5</v>
      </c>
      <c r="O104" s="128">
        <f>C104-N104</f>
        <v>263</v>
      </c>
      <c r="P104" s="72">
        <f>O104/C104</f>
        <v>0.98134328358208955</v>
      </c>
    </row>
    <row r="105" spans="1:16" ht="15.75" customHeight="1" x14ac:dyDescent="0.4"/>
    <row r="106" spans="1:16" ht="15.75" customHeight="1" x14ac:dyDescent="0.4"/>
    <row r="107" spans="1:16" ht="15.75" customHeight="1" x14ac:dyDescent="0.4"/>
    <row r="108" spans="1:16" ht="15.75" customHeight="1" x14ac:dyDescent="0.4"/>
    <row r="109" spans="1:16" ht="15.75" customHeight="1" x14ac:dyDescent="0.4"/>
    <row r="110" spans="1:16" ht="15.75" customHeight="1" x14ac:dyDescent="0.4"/>
    <row r="111" spans="1:16" ht="15.75" customHeight="1" x14ac:dyDescent="0.4"/>
    <row r="112" spans="1:16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6">
    <mergeCell ref="A19:P19"/>
    <mergeCell ref="A1:P1"/>
    <mergeCell ref="A2:P2"/>
    <mergeCell ref="A3:P3"/>
    <mergeCell ref="D4:M4"/>
    <mergeCell ref="N4:P4"/>
  </mergeCells>
  <conditionalFormatting sqref="C20:M21 C23:M25 C27:M31 C35:M35 C37:M38 C40:M42 C45:M48 C51:M52 C54:M54 C56:M56 C58:M58 C62:M65 C68:M69 C73:M76 C78:M82 C85:M86 C88:M88 C90:M93 C95:M99 C102:M10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rowBreaks count="3" manualBreakCount="3">
    <brk id="17" man="1"/>
    <brk id="53" man="1"/>
    <brk id="8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7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 x14ac:dyDescent="0.4"/>
  <cols>
    <col min="1" max="2" width="12.453125" customWidth="1"/>
    <col min="3" max="12" width="6.81640625" customWidth="1"/>
    <col min="13" max="13" width="9.81640625" customWidth="1"/>
    <col min="14" max="16" width="8" customWidth="1"/>
  </cols>
  <sheetData>
    <row r="1" spans="1:16" ht="14.25" customHeight="1" x14ac:dyDescent="0.4">
      <c r="A1" s="532" t="str">
        <f>'University-wide'!A1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6"/>
      <c r="N1" s="6"/>
      <c r="O1" s="6"/>
      <c r="P1" s="6"/>
    </row>
    <row r="2" spans="1:16" ht="14.25" customHeight="1" x14ac:dyDescent="0.4">
      <c r="A2" s="532" t="s">
        <v>557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6"/>
      <c r="N2" s="6"/>
      <c r="O2" s="6"/>
      <c r="P2" s="6"/>
    </row>
    <row r="3" spans="1:16" ht="11.25" customHeight="1" x14ac:dyDescent="0.4">
      <c r="A3" s="542"/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6"/>
      <c r="N3" s="6"/>
      <c r="O3" s="6"/>
      <c r="P3" s="6"/>
    </row>
    <row r="4" spans="1:16" ht="11.25" customHeight="1" x14ac:dyDescent="0.4">
      <c r="A4" s="42" t="s">
        <v>45</v>
      </c>
      <c r="B4" s="42" t="s">
        <v>280</v>
      </c>
      <c r="C4" s="516" t="s">
        <v>557</v>
      </c>
      <c r="D4" s="517"/>
      <c r="E4" s="517"/>
      <c r="F4" s="517"/>
      <c r="G4" s="517"/>
      <c r="H4" s="517"/>
      <c r="I4" s="517"/>
      <c r="J4" s="517"/>
      <c r="K4" s="517"/>
      <c r="L4" s="518"/>
      <c r="M4" s="6"/>
      <c r="N4" s="6"/>
      <c r="O4" s="6"/>
      <c r="P4" s="6"/>
    </row>
    <row r="5" spans="1:16" ht="11.25" customHeight="1" x14ac:dyDescent="0.4">
      <c r="A5" s="43"/>
      <c r="B5" s="43" t="s">
        <v>283</v>
      </c>
      <c r="C5" s="47" t="s">
        <v>285</v>
      </c>
      <c r="D5" s="48" t="s">
        <v>286</v>
      </c>
      <c r="E5" s="48" t="s">
        <v>287</v>
      </c>
      <c r="F5" s="48" t="s">
        <v>288</v>
      </c>
      <c r="G5" s="48" t="s">
        <v>289</v>
      </c>
      <c r="H5" s="48" t="s">
        <v>290</v>
      </c>
      <c r="I5" s="48" t="s">
        <v>291</v>
      </c>
      <c r="J5" s="48" t="s">
        <v>292</v>
      </c>
      <c r="K5" s="48" t="s">
        <v>293</v>
      </c>
      <c r="L5" s="49" t="s">
        <v>294</v>
      </c>
      <c r="M5" s="6"/>
      <c r="N5" s="6"/>
      <c r="O5" s="6"/>
      <c r="P5" s="6"/>
    </row>
    <row r="6" spans="1:16" ht="11.25" customHeight="1" x14ac:dyDescent="0.4">
      <c r="A6" s="50"/>
      <c r="B6" s="50"/>
      <c r="C6" s="47" t="s">
        <v>298</v>
      </c>
      <c r="D6" s="48" t="s">
        <v>298</v>
      </c>
      <c r="E6" s="48" t="s">
        <v>298</v>
      </c>
      <c r="F6" s="48" t="s">
        <v>298</v>
      </c>
      <c r="G6" s="48" t="s">
        <v>299</v>
      </c>
      <c r="H6" s="48" t="s">
        <v>299</v>
      </c>
      <c r="I6" s="48" t="s">
        <v>299</v>
      </c>
      <c r="J6" s="48" t="s">
        <v>299</v>
      </c>
      <c r="K6" s="48" t="s">
        <v>299</v>
      </c>
      <c r="L6" s="49" t="s">
        <v>299</v>
      </c>
      <c r="M6" s="6"/>
      <c r="N6" s="6"/>
      <c r="O6" s="6"/>
      <c r="P6" s="6"/>
    </row>
    <row r="7" spans="1:16" ht="11.25" customHeight="1" x14ac:dyDescent="0.4">
      <c r="A7" s="457"/>
      <c r="B7" s="458"/>
      <c r="C7" s="459"/>
      <c r="D7" s="460"/>
      <c r="E7" s="460"/>
      <c r="F7" s="460"/>
      <c r="G7" s="460"/>
      <c r="H7" s="460"/>
      <c r="I7" s="460"/>
      <c r="J7" s="460"/>
      <c r="K7" s="460"/>
      <c r="L7" s="461"/>
      <c r="M7" s="6"/>
      <c r="N7" s="6"/>
      <c r="O7" s="6"/>
      <c r="P7" s="6"/>
    </row>
    <row r="8" spans="1:16" ht="11.25" customHeight="1" x14ac:dyDescent="0.4">
      <c r="A8" s="457"/>
      <c r="B8" s="457"/>
      <c r="C8" s="458"/>
      <c r="D8" s="462"/>
      <c r="E8" s="462"/>
      <c r="F8" s="462"/>
      <c r="G8" s="462"/>
      <c r="H8" s="462"/>
      <c r="I8" s="462"/>
      <c r="J8" s="462"/>
      <c r="K8" s="462"/>
      <c r="L8" s="463"/>
      <c r="M8" s="6"/>
      <c r="N8" s="6"/>
      <c r="O8" s="6"/>
      <c r="P8" s="6"/>
    </row>
    <row r="9" spans="1:16" ht="11.25" customHeight="1" x14ac:dyDescent="0.4">
      <c r="A9" s="457"/>
      <c r="B9" s="458"/>
      <c r="C9" s="458"/>
      <c r="D9" s="462"/>
      <c r="E9" s="462"/>
      <c r="F9" s="462"/>
      <c r="G9" s="462"/>
      <c r="H9" s="462"/>
      <c r="I9" s="462"/>
      <c r="J9" s="462"/>
      <c r="K9" s="462"/>
      <c r="L9" s="463"/>
      <c r="M9" s="6"/>
      <c r="N9" s="6"/>
      <c r="O9" s="6"/>
      <c r="P9" s="6"/>
    </row>
    <row r="10" spans="1:16" ht="11.25" customHeight="1" x14ac:dyDescent="0.4">
      <c r="A10" s="457"/>
      <c r="B10" s="458"/>
      <c r="C10" s="458"/>
      <c r="D10" s="462"/>
      <c r="E10" s="462"/>
      <c r="F10" s="462"/>
      <c r="G10" s="462"/>
      <c r="H10" s="462"/>
      <c r="I10" s="462"/>
      <c r="J10" s="462"/>
      <c r="K10" s="462"/>
      <c r="L10" s="463"/>
      <c r="M10" s="6"/>
      <c r="N10" s="6"/>
      <c r="O10" s="6"/>
      <c r="P10" s="6"/>
    </row>
    <row r="11" spans="1:16" ht="11.25" customHeight="1" x14ac:dyDescent="0.4">
      <c r="A11" s="457"/>
      <c r="B11" s="462"/>
      <c r="C11" s="458"/>
      <c r="D11" s="462"/>
      <c r="E11" s="462"/>
      <c r="F11" s="462"/>
      <c r="G11" s="462"/>
      <c r="H11" s="462"/>
      <c r="I11" s="462"/>
      <c r="J11" s="462"/>
      <c r="K11" s="462"/>
      <c r="L11" s="463"/>
      <c r="M11" s="6"/>
      <c r="N11" s="6"/>
      <c r="O11" s="6"/>
      <c r="P11" s="6"/>
    </row>
    <row r="12" spans="1:16" ht="11.25" customHeight="1" x14ac:dyDescent="0.4">
      <c r="A12" s="457"/>
      <c r="B12" s="462"/>
      <c r="C12" s="458"/>
      <c r="D12" s="462"/>
      <c r="E12" s="462"/>
      <c r="F12" s="462"/>
      <c r="G12" s="462"/>
      <c r="H12" s="462"/>
      <c r="I12" s="462"/>
      <c r="J12" s="462"/>
      <c r="K12" s="462"/>
      <c r="L12" s="463"/>
      <c r="M12" s="6"/>
      <c r="N12" s="6"/>
      <c r="O12" s="6"/>
      <c r="P12" s="6"/>
    </row>
    <row r="13" spans="1:16" ht="11.25" customHeight="1" x14ac:dyDescent="0.4">
      <c r="A13" s="457"/>
      <c r="B13" s="462"/>
      <c r="C13" s="458"/>
      <c r="D13" s="462"/>
      <c r="E13" s="462"/>
      <c r="F13" s="462"/>
      <c r="G13" s="462"/>
      <c r="H13" s="462"/>
      <c r="I13" s="462"/>
      <c r="J13" s="462"/>
      <c r="K13" s="462"/>
      <c r="L13" s="463"/>
      <c r="M13" s="6"/>
      <c r="N13" s="6"/>
      <c r="O13" s="6"/>
      <c r="P13" s="6"/>
    </row>
    <row r="14" spans="1:16" ht="11.25" customHeight="1" x14ac:dyDescent="0.4">
      <c r="A14" s="457"/>
      <c r="B14" s="462"/>
      <c r="C14" s="458"/>
      <c r="D14" s="462"/>
      <c r="E14" s="462"/>
      <c r="F14" s="462"/>
      <c r="G14" s="462"/>
      <c r="H14" s="462"/>
      <c r="I14" s="462"/>
      <c r="J14" s="462"/>
      <c r="K14" s="462"/>
      <c r="L14" s="463"/>
      <c r="M14" s="6"/>
      <c r="N14" s="6"/>
      <c r="O14" s="6"/>
      <c r="P14" s="6"/>
    </row>
    <row r="15" spans="1:16" ht="11.25" customHeight="1" x14ac:dyDescent="0.4">
      <c r="A15" s="457"/>
      <c r="B15" s="462"/>
      <c r="C15" s="458"/>
      <c r="D15" s="462"/>
      <c r="E15" s="462"/>
      <c r="F15" s="462"/>
      <c r="G15" s="462"/>
      <c r="H15" s="462"/>
      <c r="I15" s="462"/>
      <c r="J15" s="462"/>
      <c r="K15" s="462"/>
      <c r="L15" s="463"/>
      <c r="M15" s="6"/>
      <c r="N15" s="6"/>
      <c r="O15" s="6"/>
      <c r="P15" s="6"/>
    </row>
    <row r="16" spans="1:16" ht="11.25" customHeight="1" x14ac:dyDescent="0.4">
      <c r="A16" s="457"/>
      <c r="B16" s="462"/>
      <c r="C16" s="458"/>
      <c r="D16" s="462"/>
      <c r="E16" s="462"/>
      <c r="F16" s="462"/>
      <c r="G16" s="462"/>
      <c r="H16" s="462"/>
      <c r="I16" s="462"/>
      <c r="J16" s="462"/>
      <c r="K16" s="462"/>
      <c r="L16" s="463"/>
      <c r="M16" s="6"/>
      <c r="N16" s="6"/>
      <c r="O16" s="6"/>
      <c r="P16" s="6"/>
    </row>
    <row r="17" spans="1:16" ht="11.25" customHeight="1" x14ac:dyDescent="0.4">
      <c r="A17" s="457"/>
      <c r="B17" s="462"/>
      <c r="C17" s="458"/>
      <c r="D17" s="462"/>
      <c r="E17" s="462"/>
      <c r="F17" s="462"/>
      <c r="G17" s="462"/>
      <c r="H17" s="462"/>
      <c r="I17" s="462"/>
      <c r="J17" s="462"/>
      <c r="K17" s="462"/>
      <c r="L17" s="463"/>
      <c r="M17" s="6"/>
      <c r="N17" s="6"/>
      <c r="O17" s="6"/>
      <c r="P17" s="6"/>
    </row>
    <row r="18" spans="1:16" ht="11.25" customHeight="1" x14ac:dyDescent="0.4">
      <c r="A18" s="543" t="s">
        <v>314</v>
      </c>
      <c r="B18" s="544"/>
      <c r="C18" s="464">
        <f t="shared" ref="C18:L18" si="0">SUM(C7:C16)</f>
        <v>0</v>
      </c>
      <c r="D18" s="464">
        <f t="shared" si="0"/>
        <v>0</v>
      </c>
      <c r="E18" s="464">
        <f t="shared" si="0"/>
        <v>0</v>
      </c>
      <c r="F18" s="464">
        <f t="shared" si="0"/>
        <v>0</v>
      </c>
      <c r="G18" s="464">
        <f t="shared" si="0"/>
        <v>0</v>
      </c>
      <c r="H18" s="464">
        <f t="shared" si="0"/>
        <v>0</v>
      </c>
      <c r="I18" s="464">
        <f t="shared" si="0"/>
        <v>0</v>
      </c>
      <c r="J18" s="464">
        <f t="shared" si="0"/>
        <v>0</v>
      </c>
      <c r="K18" s="464">
        <f t="shared" si="0"/>
        <v>0</v>
      </c>
      <c r="L18" s="465">
        <f t="shared" si="0"/>
        <v>0</v>
      </c>
      <c r="M18" s="6"/>
      <c r="N18" s="6"/>
      <c r="O18" s="6"/>
      <c r="P18" s="6"/>
    </row>
    <row r="19" spans="1:16" ht="11.25" customHeight="1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2.5" customHeight="1" x14ac:dyDescent="0.4">
      <c r="A20" s="541" t="s">
        <v>558</v>
      </c>
      <c r="B20" s="520"/>
      <c r="C20" s="520"/>
      <c r="D20" s="520"/>
      <c r="E20" s="520"/>
      <c r="F20" s="520"/>
      <c r="G20" s="520"/>
      <c r="H20" s="520"/>
      <c r="I20" s="520"/>
      <c r="J20" s="520"/>
      <c r="K20" s="520"/>
      <c r="L20" s="520"/>
      <c r="M20" s="6"/>
      <c r="N20" s="6"/>
      <c r="O20" s="6"/>
      <c r="P20" s="6"/>
    </row>
    <row r="21" spans="1:16" ht="11.25" customHeigh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1.25" customHeight="1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1.25" customHeight="1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5.75" customHeight="1" x14ac:dyDescent="0.4"/>
    <row r="25" spans="1:16" ht="15.75" customHeight="1" x14ac:dyDescent="0.4"/>
    <row r="26" spans="1:16" ht="15.75" customHeight="1" x14ac:dyDescent="0.4"/>
    <row r="27" spans="1:16" ht="15.75" customHeight="1" x14ac:dyDescent="0.4"/>
    <row r="28" spans="1:16" ht="15.75" customHeight="1" x14ac:dyDescent="0.4"/>
    <row r="29" spans="1:16" ht="15.75" customHeight="1" x14ac:dyDescent="0.4"/>
    <row r="30" spans="1:16" ht="15.75" customHeight="1" x14ac:dyDescent="0.4"/>
    <row r="31" spans="1:16" ht="15.75" customHeight="1" x14ac:dyDescent="0.4"/>
    <row r="32" spans="1:16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</sheetData>
  <mergeCells count="6">
    <mergeCell ref="A20:L20"/>
    <mergeCell ref="A1:L1"/>
    <mergeCell ref="A2:L2"/>
    <mergeCell ref="A3:L3"/>
    <mergeCell ref="C4:L4"/>
    <mergeCell ref="A18:B1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showGridLines="0" zoomScaleNormal="100" workbookViewId="0">
      <selection sqref="A1:B1"/>
    </sheetView>
  </sheetViews>
  <sheetFormatPr defaultColWidth="14.453125" defaultRowHeight="15" customHeight="1" x14ac:dyDescent="0.4"/>
  <cols>
    <col min="1" max="1" width="11.1796875" customWidth="1"/>
    <col min="2" max="2" width="77.81640625" customWidth="1"/>
    <col min="3" max="3" width="9.81640625" customWidth="1"/>
    <col min="4" max="6" width="10.81640625" customWidth="1"/>
    <col min="7" max="22" width="8" customWidth="1"/>
  </cols>
  <sheetData>
    <row r="1" spans="1:22" ht="14.25" customHeight="1" x14ac:dyDescent="0.4">
      <c r="A1" s="532" t="str">
        <f>'University-wide'!A1</f>
        <v>University of California, San Diego Survey of Parking Space Occupancy Levels, Spring 2022</v>
      </c>
      <c r="B1" s="520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customHeight="1" x14ac:dyDescent="0.4">
      <c r="A2" s="532" t="s">
        <v>559</v>
      </c>
      <c r="B2" s="520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1.25" customHeight="1" x14ac:dyDescent="0.4">
      <c r="A3" s="541"/>
      <c r="B3" s="520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1.25" customHeight="1" x14ac:dyDescent="0.4">
      <c r="A4" s="42" t="s">
        <v>560</v>
      </c>
      <c r="B4" s="42" t="s">
        <v>307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1.25" customHeight="1" x14ac:dyDescent="0.4">
      <c r="A5" s="43"/>
      <c r="B5" s="43" t="s">
        <v>280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1.25" customHeight="1" x14ac:dyDescent="0.4">
      <c r="A6" s="50"/>
      <c r="B6" s="50" t="s">
        <v>283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1.25" customHeight="1" x14ac:dyDescent="0.4">
      <c r="A7" s="17" t="s">
        <v>561</v>
      </c>
      <c r="B7" s="17" t="s">
        <v>561</v>
      </c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1.25" customHeight="1" x14ac:dyDescent="0.4">
      <c r="A8" s="17" t="s">
        <v>562</v>
      </c>
      <c r="B8" s="17" t="s">
        <v>563</v>
      </c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1.25" customHeight="1" x14ac:dyDescent="0.4">
      <c r="A9" s="17" t="s">
        <v>564</v>
      </c>
      <c r="B9" s="17" t="s">
        <v>565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1.25" customHeight="1" x14ac:dyDescent="0.4">
      <c r="A10" s="76" t="s">
        <v>566</v>
      </c>
      <c r="B10" s="34" t="s">
        <v>567</v>
      </c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1.25" customHeight="1" x14ac:dyDescent="0.4">
      <c r="A11" s="6"/>
      <c r="B11" s="6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1.25" customHeight="1" x14ac:dyDescent="0.4">
      <c r="A12" s="6"/>
      <c r="B12" s="6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1.25" customHeight="1" x14ac:dyDescent="0.4">
      <c r="A13" s="6"/>
      <c r="B13" s="6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1.25" customHeight="1" x14ac:dyDescent="0.4">
      <c r="A14" s="6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1.25" customHeight="1" x14ac:dyDescent="0.4">
      <c r="A15" s="6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1.25" customHeight="1" x14ac:dyDescent="0.4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1.25" customHeight="1" x14ac:dyDescent="0.4">
      <c r="A17" s="6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1.25" customHeight="1" x14ac:dyDescent="0.4">
      <c r="A18" s="6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1.25" customHeight="1" x14ac:dyDescent="0.4">
      <c r="A19" s="6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1.25" customHeight="1" x14ac:dyDescent="0.4">
      <c r="A20" s="6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1.25" customHeight="1" x14ac:dyDescent="0.4">
      <c r="A21" s="6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1.25" customHeight="1" x14ac:dyDescent="0.4">
      <c r="A22" s="6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1.25" customHeight="1" x14ac:dyDescent="0.4">
      <c r="A23" s="6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1.25" customHeight="1" x14ac:dyDescent="0.4">
      <c r="A24" s="6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1.25" customHeight="1" x14ac:dyDescent="0.4">
      <c r="A25" s="6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1.25" customHeight="1" x14ac:dyDescent="0.4">
      <c r="A26" s="6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1.25" customHeight="1" x14ac:dyDescent="0.4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1.25" customHeight="1" x14ac:dyDescent="0.4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1.25" customHeight="1" x14ac:dyDescent="0.4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1.25" customHeight="1" x14ac:dyDescent="0.4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1.25" customHeight="1" x14ac:dyDescent="0.4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1.25" customHeight="1" x14ac:dyDescent="0.4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1.25" customHeight="1" x14ac:dyDescent="0.4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1.25" customHeight="1" x14ac:dyDescent="0.4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1.25" customHeight="1" x14ac:dyDescent="0.4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1.25" customHeight="1" x14ac:dyDescent="0.4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1.25" customHeight="1" x14ac:dyDescent="0.4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1.25" customHeight="1" x14ac:dyDescent="0.4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1.25" customHeight="1" x14ac:dyDescent="0.4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1.25" customHeight="1" x14ac:dyDescent="0.4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1.25" customHeight="1" x14ac:dyDescent="0.4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1.25" customHeight="1" x14ac:dyDescent="0.4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1.25" customHeight="1" x14ac:dyDescent="0.4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1.25" customHeight="1" x14ac:dyDescent="0.4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1.25" customHeight="1" x14ac:dyDescent="0.4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1.25" customHeight="1" x14ac:dyDescent="0.4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1.25" customHeight="1" x14ac:dyDescent="0.4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1.25" customHeight="1" x14ac:dyDescent="0.4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1.25" customHeight="1" x14ac:dyDescent="0.4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1.25" customHeight="1" x14ac:dyDescent="0.4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1.25" customHeight="1" x14ac:dyDescent="0.4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1.25" customHeight="1" x14ac:dyDescent="0.4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1.25" customHeight="1" x14ac:dyDescent="0.4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1.25" customHeight="1" x14ac:dyDescent="0.4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1.25" customHeight="1" x14ac:dyDescent="0.4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1.25" customHeight="1" x14ac:dyDescent="0.4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1.25" customHeight="1" x14ac:dyDescent="0.4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1.25" customHeight="1" x14ac:dyDescent="0.4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1.25" customHeight="1" x14ac:dyDescent="0.4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1.25" customHeight="1" x14ac:dyDescent="0.4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1.25" customHeight="1" x14ac:dyDescent="0.4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1.25" customHeight="1" x14ac:dyDescent="0.4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1.25" customHeight="1" x14ac:dyDescent="0.4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1.25" customHeight="1" x14ac:dyDescent="0.4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1.25" customHeight="1" x14ac:dyDescent="0.4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1.25" customHeight="1" x14ac:dyDescent="0.4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1.25" customHeight="1" x14ac:dyDescent="0.4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1.25" customHeight="1" x14ac:dyDescent="0.4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1.25" customHeight="1" x14ac:dyDescent="0.4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1.25" customHeight="1" x14ac:dyDescent="0.4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1.25" customHeight="1" x14ac:dyDescent="0.4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1.25" customHeight="1" x14ac:dyDescent="0.4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1.25" customHeight="1" x14ac:dyDescent="0.4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1.25" customHeight="1" x14ac:dyDescent="0.4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1.25" customHeight="1" x14ac:dyDescent="0.4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1.25" customHeight="1" x14ac:dyDescent="0.4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1.25" customHeight="1" x14ac:dyDescent="0.4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1.25" customHeight="1" x14ac:dyDescent="0.4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1.25" customHeight="1" x14ac:dyDescent="0.4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1.25" customHeight="1" x14ac:dyDescent="0.4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1.25" customHeight="1" x14ac:dyDescent="0.4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1.25" customHeight="1" x14ac:dyDescent="0.4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1.25" customHeight="1" x14ac:dyDescent="0.4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1.25" customHeight="1" x14ac:dyDescent="0.4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1.25" customHeight="1" x14ac:dyDescent="0.4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1.25" customHeight="1" x14ac:dyDescent="0.4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1.25" customHeight="1" x14ac:dyDescent="0.4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1.25" customHeight="1" x14ac:dyDescent="0.4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1.25" customHeight="1" x14ac:dyDescent="0.4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1.25" customHeight="1" x14ac:dyDescent="0.4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1.25" customHeight="1" x14ac:dyDescent="0.4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1.25" customHeight="1" x14ac:dyDescent="0.4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1.25" customHeight="1" x14ac:dyDescent="0.4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1.25" customHeight="1" x14ac:dyDescent="0.4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1.25" customHeight="1" x14ac:dyDescent="0.4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1.25" customHeight="1" x14ac:dyDescent="0.4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1.25" customHeight="1" x14ac:dyDescent="0.4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1.25" customHeight="1" x14ac:dyDescent="0.4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1.25" customHeight="1" x14ac:dyDescent="0.4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1.25" customHeight="1" x14ac:dyDescent="0.4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1.25" customHeight="1" x14ac:dyDescent="0.4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1.25" customHeight="1" x14ac:dyDescent="0.4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1.25" customHeight="1" x14ac:dyDescent="0.4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1.25" customHeight="1" x14ac:dyDescent="0.4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1.25" customHeight="1" x14ac:dyDescent="0.4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1.25" customHeight="1" x14ac:dyDescent="0.4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1.25" customHeight="1" x14ac:dyDescent="0.4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1.25" customHeight="1" x14ac:dyDescent="0.4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1.25" customHeight="1" x14ac:dyDescent="0.4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1.25" customHeight="1" x14ac:dyDescent="0.4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1.25" customHeight="1" x14ac:dyDescent="0.4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1.25" customHeight="1" x14ac:dyDescent="0.4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1.25" customHeight="1" x14ac:dyDescent="0.4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1.25" customHeight="1" x14ac:dyDescent="0.4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1.25" customHeight="1" x14ac:dyDescent="0.4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1.25" customHeight="1" x14ac:dyDescent="0.4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1.25" customHeight="1" x14ac:dyDescent="0.4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1.25" customHeight="1" x14ac:dyDescent="0.4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1.25" customHeight="1" x14ac:dyDescent="0.4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1.25" customHeight="1" x14ac:dyDescent="0.4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1.25" customHeight="1" x14ac:dyDescent="0.4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1.25" customHeight="1" x14ac:dyDescent="0.4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1.25" customHeight="1" x14ac:dyDescent="0.4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1.25" customHeight="1" x14ac:dyDescent="0.4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1.25" customHeight="1" x14ac:dyDescent="0.4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1.25" customHeight="1" x14ac:dyDescent="0.4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1.25" customHeight="1" x14ac:dyDescent="0.4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1.25" customHeight="1" x14ac:dyDescent="0.4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1.25" customHeight="1" x14ac:dyDescent="0.4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1.25" customHeight="1" x14ac:dyDescent="0.4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1.25" customHeight="1" x14ac:dyDescent="0.4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1.25" customHeight="1" x14ac:dyDescent="0.4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1.25" customHeight="1" x14ac:dyDescent="0.4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1.25" customHeight="1" x14ac:dyDescent="0.4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1.25" customHeight="1" x14ac:dyDescent="0.4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1.25" customHeight="1" x14ac:dyDescent="0.4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1.25" customHeight="1" x14ac:dyDescent="0.4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1.25" customHeight="1" x14ac:dyDescent="0.4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1.25" customHeight="1" x14ac:dyDescent="0.4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1.25" customHeight="1" x14ac:dyDescent="0.4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1.25" customHeight="1" x14ac:dyDescent="0.4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1.25" customHeight="1" x14ac:dyDescent="0.4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1.25" customHeight="1" x14ac:dyDescent="0.4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1.25" customHeight="1" x14ac:dyDescent="0.4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1.25" customHeight="1" x14ac:dyDescent="0.4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1.25" customHeight="1" x14ac:dyDescent="0.4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1.25" customHeight="1" x14ac:dyDescent="0.4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1.25" customHeight="1" x14ac:dyDescent="0.4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1.25" customHeight="1" x14ac:dyDescent="0.4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1.25" customHeight="1" x14ac:dyDescent="0.4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1.25" customHeight="1" x14ac:dyDescent="0.4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1.25" customHeight="1" x14ac:dyDescent="0.4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1.25" customHeight="1" x14ac:dyDescent="0.4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1.25" customHeight="1" x14ac:dyDescent="0.4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1.25" customHeight="1" x14ac:dyDescent="0.4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1.25" customHeight="1" x14ac:dyDescent="0.4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1.25" customHeight="1" x14ac:dyDescent="0.4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1.25" customHeight="1" x14ac:dyDescent="0.4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1.25" customHeight="1" x14ac:dyDescent="0.4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1.25" customHeight="1" x14ac:dyDescent="0.4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1.25" customHeight="1" x14ac:dyDescent="0.4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1.25" customHeight="1" x14ac:dyDescent="0.4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1.25" customHeight="1" x14ac:dyDescent="0.4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1.25" customHeight="1" x14ac:dyDescent="0.4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1.25" customHeight="1" x14ac:dyDescent="0.4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1.25" customHeight="1" x14ac:dyDescent="0.4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1.25" customHeight="1" x14ac:dyDescent="0.4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1.25" customHeight="1" x14ac:dyDescent="0.4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1.25" customHeight="1" x14ac:dyDescent="0.4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1.25" customHeight="1" x14ac:dyDescent="0.4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1.25" customHeight="1" x14ac:dyDescent="0.4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1.25" customHeight="1" x14ac:dyDescent="0.4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1.25" customHeight="1" x14ac:dyDescent="0.4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1.25" customHeight="1" x14ac:dyDescent="0.4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1.25" customHeight="1" x14ac:dyDescent="0.4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1.25" customHeight="1" x14ac:dyDescent="0.4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1.25" customHeight="1" x14ac:dyDescent="0.4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1.25" customHeight="1" x14ac:dyDescent="0.4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1.25" customHeight="1" x14ac:dyDescent="0.4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1.25" customHeight="1" x14ac:dyDescent="0.4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1.25" customHeight="1" x14ac:dyDescent="0.4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1.25" customHeight="1" x14ac:dyDescent="0.4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1.25" customHeight="1" x14ac:dyDescent="0.4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1.25" customHeight="1" x14ac:dyDescent="0.4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1.25" customHeight="1" x14ac:dyDescent="0.4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1.25" customHeight="1" x14ac:dyDescent="0.4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1.25" customHeight="1" x14ac:dyDescent="0.4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1.25" customHeight="1" x14ac:dyDescent="0.4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1.25" customHeight="1" x14ac:dyDescent="0.4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1.25" customHeight="1" x14ac:dyDescent="0.4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1.25" customHeight="1" x14ac:dyDescent="0.4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1.25" customHeight="1" x14ac:dyDescent="0.4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1.25" customHeight="1" x14ac:dyDescent="0.4">
      <c r="A193" s="6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1.25" customHeight="1" x14ac:dyDescent="0.4">
      <c r="A194" s="6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1.25" customHeight="1" x14ac:dyDescent="0.4">
      <c r="A195" s="6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1.25" customHeight="1" x14ac:dyDescent="0.4">
      <c r="A196" s="6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1.25" customHeight="1" x14ac:dyDescent="0.4">
      <c r="A197" s="6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1.25" customHeight="1" x14ac:dyDescent="0.4">
      <c r="A198" s="6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1.25" customHeight="1" x14ac:dyDescent="0.4">
      <c r="A199" s="6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1.25" customHeight="1" x14ac:dyDescent="0.4">
      <c r="A200" s="6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1.25" customHeight="1" x14ac:dyDescent="0.4">
      <c r="A201" s="6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1.25" customHeight="1" x14ac:dyDescent="0.4">
      <c r="A202" s="6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1.25" customHeight="1" x14ac:dyDescent="0.4">
      <c r="A203" s="6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1.25" customHeight="1" x14ac:dyDescent="0.4">
      <c r="A204" s="6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1.25" customHeight="1" x14ac:dyDescent="0.4">
      <c r="A205" s="6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1.25" customHeight="1" x14ac:dyDescent="0.4">
      <c r="A206" s="6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1.25" customHeight="1" x14ac:dyDescent="0.4">
      <c r="A207" s="6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1.25" customHeight="1" x14ac:dyDescent="0.4">
      <c r="A208" s="6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1.25" customHeight="1" x14ac:dyDescent="0.4">
      <c r="A209" s="6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1.25" customHeight="1" x14ac:dyDescent="0.4">
      <c r="A210" s="6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1.25" customHeight="1" x14ac:dyDescent="0.4">
      <c r="A211" s="6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1.25" customHeight="1" x14ac:dyDescent="0.4">
      <c r="A212" s="6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1.25" customHeight="1" x14ac:dyDescent="0.4">
      <c r="A213" s="6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1.25" customHeight="1" x14ac:dyDescent="0.4">
      <c r="A214" s="6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1.25" customHeight="1" x14ac:dyDescent="0.4">
      <c r="A215" s="6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1.25" customHeight="1" x14ac:dyDescent="0.4">
      <c r="A216" s="6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1.25" customHeight="1" x14ac:dyDescent="0.4">
      <c r="A217" s="6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1.25" customHeight="1" x14ac:dyDescent="0.4">
      <c r="A218" s="6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1.25" customHeight="1" x14ac:dyDescent="0.4">
      <c r="A219" s="6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1.25" customHeight="1" x14ac:dyDescent="0.4">
      <c r="A220" s="6"/>
      <c r="B220" s="6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4"/>
    <row r="222" spans="1:22" ht="15.75" customHeight="1" x14ac:dyDescent="0.4"/>
    <row r="223" spans="1:22" ht="15.75" customHeight="1" x14ac:dyDescent="0.4"/>
    <row r="224" spans="1:22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1"/>
  <sheetViews>
    <sheetView showGridLines="0" zoomScaleNormal="10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 x14ac:dyDescent="0.4"/>
  <cols>
    <col min="2" max="2" width="11.1796875" customWidth="1"/>
    <col min="3" max="3" width="77.81640625" customWidth="1"/>
    <col min="4" max="4" width="9.81640625" customWidth="1"/>
    <col min="5" max="7" width="10.81640625" customWidth="1"/>
    <col min="8" max="23" width="8" customWidth="1"/>
  </cols>
  <sheetData>
    <row r="1" spans="2:23" ht="14.25" customHeight="1" x14ac:dyDescent="0.4">
      <c r="B1" s="532" t="str">
        <f>'University-wide'!A1</f>
        <v>University of California, San Diego Survey of Parking Space Occupancy Levels, Spring 2022</v>
      </c>
      <c r="C1" s="520"/>
      <c r="D1" s="46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3" ht="14.25" customHeight="1" x14ac:dyDescent="0.4">
      <c r="B2" s="532" t="s">
        <v>568</v>
      </c>
      <c r="C2" s="520"/>
      <c r="D2" s="46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2:23" ht="11.25" customHeight="1" x14ac:dyDescent="0.4">
      <c r="B3" s="541"/>
      <c r="C3" s="520"/>
      <c r="D3" s="46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3" ht="11.25" customHeight="1" x14ac:dyDescent="0.4">
      <c r="B4" s="42" t="s">
        <v>560</v>
      </c>
      <c r="C4" s="42" t="s">
        <v>309</v>
      </c>
      <c r="D4" s="46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ht="11.25" customHeight="1" x14ac:dyDescent="0.4">
      <c r="B5" s="43"/>
      <c r="C5" s="43" t="s">
        <v>280</v>
      </c>
      <c r="D5" s="46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ht="11.25" customHeight="1" x14ac:dyDescent="0.4">
      <c r="B6" s="50"/>
      <c r="C6" s="50" t="s">
        <v>283</v>
      </c>
      <c r="D6" s="46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 ht="11.25" customHeight="1" x14ac:dyDescent="0.4">
      <c r="B7" s="17" t="s">
        <v>569</v>
      </c>
      <c r="C7" s="17" t="s">
        <v>570</v>
      </c>
      <c r="D7" s="46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2:23" ht="11.25" customHeight="1" x14ac:dyDescent="0.4">
      <c r="B8" s="17" t="s">
        <v>571</v>
      </c>
      <c r="C8" s="17" t="s">
        <v>572</v>
      </c>
      <c r="D8" s="46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2:23" ht="11.25" customHeight="1" x14ac:dyDescent="0.4">
      <c r="B9" s="17" t="s">
        <v>573</v>
      </c>
      <c r="C9" s="17" t="s">
        <v>574</v>
      </c>
      <c r="D9" s="46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2:23" ht="11.25" customHeight="1" x14ac:dyDescent="0.4">
      <c r="B10" s="32" t="s">
        <v>575</v>
      </c>
      <c r="C10" s="17" t="s">
        <v>576</v>
      </c>
      <c r="D10" s="46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2:23" ht="11.25" customHeight="1" x14ac:dyDescent="0.4">
      <c r="B11" s="32" t="s">
        <v>577</v>
      </c>
      <c r="C11" s="17" t="s">
        <v>578</v>
      </c>
      <c r="D11" s="46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2:23" ht="11.25" customHeight="1" x14ac:dyDescent="0.4">
      <c r="B12" s="32" t="s">
        <v>579</v>
      </c>
      <c r="C12" s="17" t="s">
        <v>580</v>
      </c>
      <c r="D12" s="46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2:23" ht="11.25" customHeight="1" x14ac:dyDescent="0.4">
      <c r="B13" s="17" t="s">
        <v>581</v>
      </c>
      <c r="C13" s="17" t="s">
        <v>582</v>
      </c>
      <c r="D13" s="46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2:23" ht="11.25" customHeight="1" x14ac:dyDescent="0.4">
      <c r="B14" s="17" t="s">
        <v>583</v>
      </c>
      <c r="C14" s="17" t="s">
        <v>584</v>
      </c>
      <c r="D14" s="46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2:23" ht="11.25" customHeight="1" x14ac:dyDescent="0.4">
      <c r="B15" s="17" t="s">
        <v>585</v>
      </c>
      <c r="C15" s="17" t="s">
        <v>586</v>
      </c>
      <c r="D15" s="46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2:23" ht="11.25" customHeight="1" x14ac:dyDescent="0.4">
      <c r="B16" s="17" t="s">
        <v>587</v>
      </c>
      <c r="C16" s="17" t="s">
        <v>588</v>
      </c>
      <c r="D16" s="46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6" ht="11.25" customHeight="1" x14ac:dyDescent="0.4">
      <c r="B17" s="17" t="s">
        <v>589</v>
      </c>
      <c r="C17" s="17" t="s">
        <v>590</v>
      </c>
      <c r="D17" s="46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6" ht="11.25" customHeight="1" x14ac:dyDescent="0.4">
      <c r="B18" s="17" t="s">
        <v>591</v>
      </c>
      <c r="C18" s="17" t="s">
        <v>592</v>
      </c>
      <c r="D18" s="46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6" ht="11.25" customHeight="1" x14ac:dyDescent="0.4">
      <c r="B19" s="17" t="s">
        <v>593</v>
      </c>
      <c r="C19" s="17" t="s">
        <v>594</v>
      </c>
      <c r="D19" s="46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6" ht="11.25" customHeight="1" x14ac:dyDescent="0.4">
      <c r="B20" s="17" t="s">
        <v>595</v>
      </c>
      <c r="C20" s="17" t="s">
        <v>596</v>
      </c>
      <c r="D20" s="46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6" ht="11.25" customHeight="1" x14ac:dyDescent="0.4">
      <c r="B21" s="17" t="s">
        <v>597</v>
      </c>
      <c r="C21" s="17" t="s">
        <v>598</v>
      </c>
      <c r="D21" s="46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6" ht="11.25" customHeight="1" x14ac:dyDescent="0.4">
      <c r="B22" s="17" t="s">
        <v>599</v>
      </c>
      <c r="C22" s="17" t="s">
        <v>600</v>
      </c>
      <c r="D22" s="46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6" ht="11.25" customHeight="1" x14ac:dyDescent="0.4">
      <c r="A23" s="1"/>
      <c r="B23" s="17" t="s">
        <v>601</v>
      </c>
      <c r="C23" s="17" t="s">
        <v>602</v>
      </c>
      <c r="D23" s="46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"/>
      <c r="Y23" s="1"/>
      <c r="Z23" s="1"/>
    </row>
    <row r="24" spans="1:26" ht="11.25" customHeight="1" x14ac:dyDescent="0.4">
      <c r="B24" s="17" t="s">
        <v>603</v>
      </c>
      <c r="C24" s="17" t="s">
        <v>604</v>
      </c>
      <c r="D24" s="46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6" ht="11.25" customHeight="1" x14ac:dyDescent="0.4">
      <c r="B25" s="17" t="s">
        <v>605</v>
      </c>
      <c r="C25" s="17" t="s">
        <v>606</v>
      </c>
      <c r="D25" s="46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6" ht="11.25" customHeight="1" x14ac:dyDescent="0.4">
      <c r="B26" s="17" t="s">
        <v>607</v>
      </c>
      <c r="C26" s="17" t="s">
        <v>608</v>
      </c>
      <c r="D26" s="46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6" ht="11.25" customHeight="1" x14ac:dyDescent="0.4">
      <c r="B27" s="17" t="s">
        <v>609</v>
      </c>
      <c r="C27" s="17" t="s">
        <v>610</v>
      </c>
      <c r="D27" s="46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6" ht="11.25" customHeight="1" x14ac:dyDescent="0.4">
      <c r="B28" s="17" t="s">
        <v>611</v>
      </c>
      <c r="C28" s="17" t="s">
        <v>612</v>
      </c>
      <c r="D28" s="46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6" ht="11.25" customHeight="1" x14ac:dyDescent="0.4">
      <c r="B29" s="17" t="s">
        <v>613</v>
      </c>
      <c r="C29" s="17" t="s">
        <v>614</v>
      </c>
      <c r="D29" s="46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6" ht="11.25" customHeight="1" x14ac:dyDescent="0.4">
      <c r="B30" s="17" t="s">
        <v>615</v>
      </c>
      <c r="C30" s="17" t="s">
        <v>616</v>
      </c>
      <c r="D30" s="46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6" ht="11.25" customHeight="1" x14ac:dyDescent="0.4">
      <c r="B31" s="17" t="s">
        <v>617</v>
      </c>
      <c r="C31" s="17" t="s">
        <v>618</v>
      </c>
      <c r="D31" s="46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6" ht="11.25" customHeight="1" x14ac:dyDescent="0.4">
      <c r="B32" s="17" t="s">
        <v>619</v>
      </c>
      <c r="C32" s="17" t="s">
        <v>620</v>
      </c>
      <c r="D32" s="46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2:23" ht="11.25" customHeight="1" x14ac:dyDescent="0.4">
      <c r="B33" s="17" t="s">
        <v>621</v>
      </c>
      <c r="C33" s="17" t="s">
        <v>622</v>
      </c>
      <c r="D33" s="46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2:23" ht="11.25" customHeight="1" x14ac:dyDescent="0.4">
      <c r="B34" s="17" t="s">
        <v>623</v>
      </c>
      <c r="C34" s="17" t="s">
        <v>624</v>
      </c>
      <c r="D34" s="46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2:23" ht="11.25" customHeight="1" x14ac:dyDescent="0.4">
      <c r="B35" s="17" t="s">
        <v>625</v>
      </c>
      <c r="C35" s="17" t="s">
        <v>626</v>
      </c>
      <c r="D35" s="46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2:23" ht="11.25" customHeight="1" x14ac:dyDescent="0.4">
      <c r="B36" s="17" t="s">
        <v>627</v>
      </c>
      <c r="C36" s="17" t="s">
        <v>628</v>
      </c>
      <c r="D36" s="46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2:23" ht="11.25" customHeight="1" x14ac:dyDescent="0.4">
      <c r="B37" s="17" t="s">
        <v>629</v>
      </c>
      <c r="C37" s="17" t="s">
        <v>630</v>
      </c>
      <c r="D37" s="46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2:23" ht="11.25" customHeight="1" x14ac:dyDescent="0.4">
      <c r="B38" s="17" t="s">
        <v>631</v>
      </c>
      <c r="C38" s="17" t="s">
        <v>632</v>
      </c>
      <c r="D38" s="46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 ht="11.25" customHeight="1" x14ac:dyDescent="0.4">
      <c r="B39" s="17" t="s">
        <v>633</v>
      </c>
      <c r="C39" s="17" t="s">
        <v>634</v>
      </c>
      <c r="D39" s="46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2:23" ht="11.25" customHeight="1" x14ac:dyDescent="0.4">
      <c r="B40" s="17" t="s">
        <v>635</v>
      </c>
      <c r="C40" s="17" t="s">
        <v>636</v>
      </c>
      <c r="D40" s="46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2:23" ht="11.25" customHeight="1" x14ac:dyDescent="0.4">
      <c r="B41" s="17" t="s">
        <v>637</v>
      </c>
      <c r="C41" s="17" t="s">
        <v>638</v>
      </c>
      <c r="D41" s="46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2:23" ht="11.25" customHeight="1" x14ac:dyDescent="0.4">
      <c r="B42" s="17" t="s">
        <v>639</v>
      </c>
      <c r="C42" s="17" t="s">
        <v>640</v>
      </c>
      <c r="D42" s="46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2:23" ht="11.25" customHeight="1" x14ac:dyDescent="0.4">
      <c r="B43" s="17" t="s">
        <v>641</v>
      </c>
      <c r="C43" s="17" t="s">
        <v>642</v>
      </c>
      <c r="D43" s="46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2:23" ht="11.25" customHeight="1" x14ac:dyDescent="0.4">
      <c r="B44" s="17" t="s">
        <v>643</v>
      </c>
      <c r="C44" s="17" t="s">
        <v>644</v>
      </c>
      <c r="D44" s="46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2:23" ht="11.25" customHeight="1" x14ac:dyDescent="0.4">
      <c r="B45" s="17" t="s">
        <v>645</v>
      </c>
      <c r="C45" s="17" t="s">
        <v>646</v>
      </c>
      <c r="D45" s="46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2:23" ht="11.25" customHeight="1" x14ac:dyDescent="0.4">
      <c r="B46" s="442" t="s">
        <v>647</v>
      </c>
      <c r="C46" s="442" t="s">
        <v>648</v>
      </c>
      <c r="D46" s="46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2:23" ht="11.25" customHeight="1" x14ac:dyDescent="0.4">
      <c r="B47" s="17" t="s">
        <v>649</v>
      </c>
      <c r="C47" s="17" t="s">
        <v>650</v>
      </c>
      <c r="D47" s="46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2:23" ht="11.25" customHeight="1" x14ac:dyDescent="0.4">
      <c r="B48" s="17" t="s">
        <v>651</v>
      </c>
      <c r="C48" s="17" t="s">
        <v>652</v>
      </c>
      <c r="D48" s="46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2:23" ht="11.25" customHeight="1" x14ac:dyDescent="0.4">
      <c r="B49" s="17" t="s">
        <v>653</v>
      </c>
      <c r="C49" s="17" t="s">
        <v>654</v>
      </c>
      <c r="D49" s="46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2:23" ht="11.25" customHeight="1" x14ac:dyDescent="0.4">
      <c r="B50" s="17" t="s">
        <v>655</v>
      </c>
      <c r="C50" s="17" t="s">
        <v>656</v>
      </c>
      <c r="D50" s="46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2:23" ht="11.25" customHeight="1" x14ac:dyDescent="0.4">
      <c r="B51" s="17" t="s">
        <v>657</v>
      </c>
      <c r="C51" s="17" t="s">
        <v>658</v>
      </c>
      <c r="D51" s="46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2:23" ht="11.25" customHeight="1" x14ac:dyDescent="0.4">
      <c r="B52" s="17" t="s">
        <v>659</v>
      </c>
      <c r="C52" s="17" t="s">
        <v>660</v>
      </c>
      <c r="D52" s="46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2:23" ht="11.25" customHeight="1" x14ac:dyDescent="0.4">
      <c r="B53" s="17" t="s">
        <v>661</v>
      </c>
      <c r="C53" s="17" t="s">
        <v>662</v>
      </c>
      <c r="D53" s="46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2:23" ht="11.25" customHeight="1" x14ac:dyDescent="0.4">
      <c r="B54" s="17" t="s">
        <v>663</v>
      </c>
      <c r="C54" s="17" t="s">
        <v>664</v>
      </c>
      <c r="D54" s="46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2:23" ht="11.25" customHeight="1" x14ac:dyDescent="0.4">
      <c r="B55" s="17" t="s">
        <v>665</v>
      </c>
      <c r="C55" s="17" t="s">
        <v>666</v>
      </c>
      <c r="D55" s="46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2:23" ht="11.25" customHeight="1" x14ac:dyDescent="0.4">
      <c r="B56" s="17" t="s">
        <v>667</v>
      </c>
      <c r="C56" s="17" t="s">
        <v>667</v>
      </c>
      <c r="D56" s="46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2:23" ht="11.25" customHeight="1" x14ac:dyDescent="0.4">
      <c r="B57" s="17" t="s">
        <v>668</v>
      </c>
      <c r="C57" s="17" t="s">
        <v>669</v>
      </c>
      <c r="D57" s="46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2:23" ht="11.25" customHeight="1" x14ac:dyDescent="0.4">
      <c r="B58" s="17" t="s">
        <v>670</v>
      </c>
      <c r="C58" s="17" t="s">
        <v>671</v>
      </c>
      <c r="D58" s="46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2:23" ht="11.25" customHeight="1" x14ac:dyDescent="0.4">
      <c r="B59" s="17" t="s">
        <v>672</v>
      </c>
      <c r="C59" s="17" t="s">
        <v>673</v>
      </c>
      <c r="D59" s="46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2:23" ht="11.25" customHeight="1" x14ac:dyDescent="0.4">
      <c r="B60" s="17" t="s">
        <v>674</v>
      </c>
      <c r="C60" s="17" t="s">
        <v>675</v>
      </c>
      <c r="D60" s="46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2:23" ht="11.25" customHeight="1" x14ac:dyDescent="0.4">
      <c r="B61" s="17" t="s">
        <v>676</v>
      </c>
      <c r="C61" s="17" t="s">
        <v>677</v>
      </c>
      <c r="D61" s="46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2:23" ht="11.25" customHeight="1" x14ac:dyDescent="0.4">
      <c r="B62" s="17" t="s">
        <v>678</v>
      </c>
      <c r="C62" s="17" t="s">
        <v>679</v>
      </c>
      <c r="D62" s="46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2:23" ht="11.25" customHeight="1" x14ac:dyDescent="0.4">
      <c r="B63" s="17" t="s">
        <v>680</v>
      </c>
      <c r="C63" s="17" t="s">
        <v>681</v>
      </c>
      <c r="D63" s="46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2:23" ht="11.25" customHeight="1" x14ac:dyDescent="0.4">
      <c r="B64" s="17" t="s">
        <v>682</v>
      </c>
      <c r="C64" s="17" t="s">
        <v>683</v>
      </c>
      <c r="D64" s="46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2:23" ht="11.25" customHeight="1" x14ac:dyDescent="0.4">
      <c r="B65" s="32" t="s">
        <v>684</v>
      </c>
      <c r="C65" s="17" t="s">
        <v>685</v>
      </c>
      <c r="D65" s="46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2:23" ht="11.25" customHeight="1" x14ac:dyDescent="0.4">
      <c r="B66" s="32" t="s">
        <v>686</v>
      </c>
      <c r="C66" s="17" t="s">
        <v>687</v>
      </c>
      <c r="D66" s="46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2:23" ht="11.25" customHeight="1" x14ac:dyDescent="0.4">
      <c r="B67" s="17" t="s">
        <v>688</v>
      </c>
      <c r="C67" s="17" t="s">
        <v>689</v>
      </c>
      <c r="D67" s="46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2:23" ht="11.25" customHeight="1" x14ac:dyDescent="0.4">
      <c r="B68" s="17" t="s">
        <v>690</v>
      </c>
      <c r="C68" s="17" t="s">
        <v>691</v>
      </c>
      <c r="D68" s="46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2:23" ht="11.25" customHeight="1" x14ac:dyDescent="0.4">
      <c r="B69" s="17" t="s">
        <v>15</v>
      </c>
      <c r="C69" s="17" t="s">
        <v>692</v>
      </c>
      <c r="D69" s="46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2:23" ht="11.25" customHeight="1" x14ac:dyDescent="0.4">
      <c r="B70" s="17" t="s">
        <v>693</v>
      </c>
      <c r="C70" s="17" t="s">
        <v>694</v>
      </c>
      <c r="D70" s="46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 ht="11.25" customHeight="1" x14ac:dyDescent="0.4">
      <c r="B71" s="17" t="s">
        <v>695</v>
      </c>
      <c r="C71" s="17" t="s">
        <v>696</v>
      </c>
      <c r="D71" s="46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2:23" ht="11.25" customHeight="1" x14ac:dyDescent="0.4">
      <c r="B72" s="17" t="s">
        <v>697</v>
      </c>
      <c r="C72" s="17" t="s">
        <v>698</v>
      </c>
      <c r="D72" s="46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2:23" ht="11.25" customHeight="1" x14ac:dyDescent="0.4">
      <c r="B73" s="17" t="s">
        <v>699</v>
      </c>
      <c r="C73" s="17" t="s">
        <v>700</v>
      </c>
      <c r="D73" s="46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2:23" ht="11.25" customHeight="1" x14ac:dyDescent="0.4">
      <c r="B74" s="17" t="s">
        <v>701</v>
      </c>
      <c r="C74" s="17" t="s">
        <v>702</v>
      </c>
      <c r="D74" s="46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2:23" ht="11.25" customHeight="1" x14ac:dyDescent="0.4">
      <c r="B75" s="17" t="s">
        <v>703</v>
      </c>
      <c r="C75" s="17" t="s">
        <v>704</v>
      </c>
      <c r="D75" s="46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2:23" ht="11.25" customHeight="1" x14ac:dyDescent="0.4">
      <c r="B76" s="17" t="s">
        <v>705</v>
      </c>
      <c r="C76" s="17" t="s">
        <v>706</v>
      </c>
      <c r="D76" s="46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2:23" ht="11.25" customHeight="1" x14ac:dyDescent="0.4">
      <c r="B77" s="17" t="s">
        <v>707</v>
      </c>
      <c r="C77" s="17" t="s">
        <v>708</v>
      </c>
      <c r="D77" s="46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2:23" ht="11.25" customHeight="1" x14ac:dyDescent="0.4">
      <c r="B78" s="34" t="s">
        <v>709</v>
      </c>
      <c r="C78" s="34" t="s">
        <v>710</v>
      </c>
      <c r="D78" s="46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2:23" ht="11.25" customHeight="1" x14ac:dyDescent="0.4">
      <c r="B79" s="6"/>
      <c r="C79" s="6"/>
      <c r="D79" s="46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2:23" ht="11.25" customHeight="1" x14ac:dyDescent="0.4">
      <c r="B80" s="6"/>
      <c r="C80" s="6"/>
      <c r="D80" s="46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2:23" ht="11.25" customHeight="1" x14ac:dyDescent="0.4">
      <c r="B81" s="6"/>
      <c r="C81" s="6"/>
      <c r="D81" s="46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2:23" ht="11.25" customHeight="1" x14ac:dyDescent="0.4">
      <c r="B82" s="6"/>
      <c r="C82" s="6"/>
      <c r="D82" s="46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2:23" ht="11.25" customHeight="1" x14ac:dyDescent="0.4">
      <c r="B83" s="6"/>
      <c r="C83" s="6"/>
      <c r="D83" s="46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2:23" ht="11.25" customHeight="1" x14ac:dyDescent="0.4">
      <c r="B84" s="6"/>
      <c r="C84" s="6"/>
      <c r="D84" s="46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2:23" ht="11.25" customHeight="1" x14ac:dyDescent="0.4">
      <c r="B85" s="6"/>
      <c r="C85" s="6"/>
      <c r="D85" s="46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2:23" ht="11.25" customHeight="1" x14ac:dyDescent="0.4">
      <c r="B86" s="6"/>
      <c r="C86" s="6"/>
      <c r="D86" s="46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2:23" ht="11.25" customHeight="1" x14ac:dyDescent="0.4">
      <c r="B87" s="6"/>
      <c r="C87" s="6"/>
      <c r="D87" s="46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2:23" ht="11.25" customHeight="1" x14ac:dyDescent="0.4">
      <c r="B88" s="6"/>
      <c r="C88" s="6"/>
      <c r="D88" s="46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2:23" ht="11.25" customHeight="1" x14ac:dyDescent="0.4">
      <c r="B89" s="6"/>
      <c r="C89" s="6"/>
      <c r="D89" s="46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2:23" ht="11.25" customHeight="1" x14ac:dyDescent="0.4">
      <c r="B90" s="6"/>
      <c r="C90" s="6"/>
      <c r="D90" s="46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2:23" ht="11.25" customHeight="1" x14ac:dyDescent="0.4">
      <c r="B91" s="6"/>
      <c r="C91" s="6"/>
      <c r="D91" s="46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2:23" ht="11.25" customHeight="1" x14ac:dyDescent="0.4">
      <c r="B92" s="6"/>
      <c r="C92" s="6"/>
      <c r="D92" s="46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2:23" ht="11.25" customHeight="1" x14ac:dyDescent="0.4">
      <c r="B93" s="6"/>
      <c r="C93" s="6"/>
      <c r="D93" s="46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2:23" ht="11.25" customHeight="1" x14ac:dyDescent="0.4">
      <c r="B94" s="6"/>
      <c r="C94" s="6"/>
      <c r="D94" s="46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2:23" ht="11.25" customHeight="1" x14ac:dyDescent="0.4">
      <c r="B95" s="6"/>
      <c r="C95" s="6"/>
      <c r="D95" s="46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2:23" ht="11.25" customHeight="1" x14ac:dyDescent="0.4">
      <c r="B96" s="6"/>
      <c r="C96" s="6"/>
      <c r="D96" s="46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2:23" ht="11.25" customHeight="1" x14ac:dyDescent="0.4">
      <c r="B97" s="6"/>
      <c r="C97" s="6"/>
      <c r="D97" s="46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2:23" ht="11.25" customHeight="1" x14ac:dyDescent="0.4">
      <c r="B98" s="6"/>
      <c r="C98" s="6"/>
      <c r="D98" s="46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2:23" ht="11.25" customHeight="1" x14ac:dyDescent="0.4">
      <c r="B99" s="6"/>
      <c r="C99" s="6"/>
      <c r="D99" s="46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 ht="11.25" customHeight="1" x14ac:dyDescent="0.4">
      <c r="B100" s="6"/>
      <c r="C100" s="6"/>
      <c r="D100" s="46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2:23" ht="11.25" customHeight="1" x14ac:dyDescent="0.4">
      <c r="B101" s="6"/>
      <c r="C101" s="6"/>
      <c r="D101" s="46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2:23" ht="11.25" customHeight="1" x14ac:dyDescent="0.4">
      <c r="B102" s="6"/>
      <c r="C102" s="6"/>
      <c r="D102" s="46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2:23" ht="11.25" customHeight="1" x14ac:dyDescent="0.4">
      <c r="B103" s="6"/>
      <c r="C103" s="6"/>
      <c r="D103" s="46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2:23" ht="11.25" customHeight="1" x14ac:dyDescent="0.4">
      <c r="B104" s="6"/>
      <c r="C104" s="6"/>
      <c r="D104" s="46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2:23" ht="11.25" customHeight="1" x14ac:dyDescent="0.4">
      <c r="B105" s="6"/>
      <c r="C105" s="6"/>
      <c r="D105" s="46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2:23" ht="11.25" customHeight="1" x14ac:dyDescent="0.4">
      <c r="B106" s="6"/>
      <c r="C106" s="6"/>
      <c r="D106" s="46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2:23" ht="11.25" customHeight="1" x14ac:dyDescent="0.4">
      <c r="B107" s="6"/>
      <c r="C107" s="6"/>
      <c r="D107" s="46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2:23" ht="11.25" customHeight="1" x14ac:dyDescent="0.4">
      <c r="B108" s="6"/>
      <c r="C108" s="6"/>
      <c r="D108" s="46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2:23" ht="11.25" customHeight="1" x14ac:dyDescent="0.4">
      <c r="B109" s="6"/>
      <c r="C109" s="6"/>
      <c r="D109" s="46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2:23" ht="11.25" customHeight="1" x14ac:dyDescent="0.4">
      <c r="B110" s="6"/>
      <c r="C110" s="6"/>
      <c r="D110" s="46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2:23" ht="11.25" customHeight="1" x14ac:dyDescent="0.4">
      <c r="B111" s="6"/>
      <c r="C111" s="6"/>
      <c r="D111" s="46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2:23" ht="11.25" customHeight="1" x14ac:dyDescent="0.4">
      <c r="B112" s="6"/>
      <c r="C112" s="6"/>
      <c r="D112" s="46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2:23" ht="11.25" customHeight="1" x14ac:dyDescent="0.4">
      <c r="B113" s="6"/>
      <c r="C113" s="6"/>
      <c r="D113" s="46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2:23" ht="11.25" customHeight="1" x14ac:dyDescent="0.4">
      <c r="B114" s="6"/>
      <c r="C114" s="6"/>
      <c r="D114" s="46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2:23" ht="11.25" customHeight="1" x14ac:dyDescent="0.4">
      <c r="B115" s="6"/>
      <c r="C115" s="6"/>
      <c r="D115" s="46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2:23" ht="11.25" customHeight="1" x14ac:dyDescent="0.4">
      <c r="B116" s="6"/>
      <c r="C116" s="6"/>
      <c r="D116" s="46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2:23" ht="11.25" customHeight="1" x14ac:dyDescent="0.4">
      <c r="B117" s="6"/>
      <c r="C117" s="6"/>
      <c r="D117" s="46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2:23" ht="11.25" customHeight="1" x14ac:dyDescent="0.4">
      <c r="B118" s="6"/>
      <c r="C118" s="6"/>
      <c r="D118" s="46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2:23" ht="11.25" customHeight="1" x14ac:dyDescent="0.4">
      <c r="B119" s="6"/>
      <c r="C119" s="6"/>
      <c r="D119" s="46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2:23" ht="11.25" customHeight="1" x14ac:dyDescent="0.4">
      <c r="B120" s="6"/>
      <c r="C120" s="6"/>
      <c r="D120" s="46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2:23" ht="11.25" customHeight="1" x14ac:dyDescent="0.4">
      <c r="B121" s="6"/>
      <c r="C121" s="6"/>
      <c r="D121" s="46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2:23" ht="11.25" customHeight="1" x14ac:dyDescent="0.4">
      <c r="B122" s="6"/>
      <c r="C122" s="6"/>
      <c r="D122" s="46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2:23" ht="11.25" customHeight="1" x14ac:dyDescent="0.4">
      <c r="B123" s="6"/>
      <c r="C123" s="6"/>
      <c r="D123" s="46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2:23" ht="11.25" customHeight="1" x14ac:dyDescent="0.4">
      <c r="B124" s="6"/>
      <c r="C124" s="6"/>
      <c r="D124" s="46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2:23" ht="11.25" customHeight="1" x14ac:dyDescent="0.4">
      <c r="B125" s="6"/>
      <c r="C125" s="6"/>
      <c r="D125" s="46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2:23" ht="11.25" customHeight="1" x14ac:dyDescent="0.4">
      <c r="B126" s="6"/>
      <c r="C126" s="6"/>
      <c r="D126" s="46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2:23" ht="11.25" customHeight="1" x14ac:dyDescent="0.4">
      <c r="B127" s="6"/>
      <c r="C127" s="6"/>
      <c r="D127" s="46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2:23" ht="11.25" customHeight="1" x14ac:dyDescent="0.4">
      <c r="B128" s="6"/>
      <c r="C128" s="6"/>
      <c r="D128" s="46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2:23" ht="11.25" customHeight="1" x14ac:dyDescent="0.4">
      <c r="B129" s="6"/>
      <c r="C129" s="6"/>
      <c r="D129" s="46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2:23" ht="11.25" customHeight="1" x14ac:dyDescent="0.4">
      <c r="B130" s="6"/>
      <c r="C130" s="6"/>
      <c r="D130" s="46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2:23" ht="11.25" customHeight="1" x14ac:dyDescent="0.4">
      <c r="B131" s="6"/>
      <c r="C131" s="6"/>
      <c r="D131" s="46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 ht="11.25" customHeight="1" x14ac:dyDescent="0.4">
      <c r="B132" s="6"/>
      <c r="C132" s="6"/>
      <c r="D132" s="46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2:23" ht="11.25" customHeight="1" x14ac:dyDescent="0.4">
      <c r="B133" s="6"/>
      <c r="C133" s="6"/>
      <c r="D133" s="46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2:23" ht="11.25" customHeight="1" x14ac:dyDescent="0.4">
      <c r="B134" s="6"/>
      <c r="C134" s="6"/>
      <c r="D134" s="46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2:23" ht="11.25" customHeight="1" x14ac:dyDescent="0.4">
      <c r="B135" s="6"/>
      <c r="C135" s="6"/>
      <c r="D135" s="46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2:23" ht="11.25" customHeight="1" x14ac:dyDescent="0.4">
      <c r="B136" s="6"/>
      <c r="C136" s="6"/>
      <c r="D136" s="46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2:23" ht="11.25" customHeight="1" x14ac:dyDescent="0.4">
      <c r="B137" s="6"/>
      <c r="C137" s="6"/>
      <c r="D137" s="46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2:23" ht="11.25" customHeight="1" x14ac:dyDescent="0.4">
      <c r="B138" s="6"/>
      <c r="C138" s="6"/>
      <c r="D138" s="46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2:23" ht="11.25" customHeight="1" x14ac:dyDescent="0.4">
      <c r="B139" s="6"/>
      <c r="C139" s="6"/>
      <c r="D139" s="46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2:23" ht="11.25" customHeight="1" x14ac:dyDescent="0.4">
      <c r="B140" s="6"/>
      <c r="C140" s="6"/>
      <c r="D140" s="46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2:23" ht="11.25" customHeight="1" x14ac:dyDescent="0.4">
      <c r="B141" s="6"/>
      <c r="C141" s="6"/>
      <c r="D141" s="46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2:23" ht="11.25" customHeight="1" x14ac:dyDescent="0.4">
      <c r="B142" s="6"/>
      <c r="C142" s="6"/>
      <c r="D142" s="46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2:23" ht="11.25" customHeight="1" x14ac:dyDescent="0.4">
      <c r="B143" s="6"/>
      <c r="C143" s="6"/>
      <c r="D143" s="46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2:23" ht="11.25" customHeight="1" x14ac:dyDescent="0.4">
      <c r="B144" s="6"/>
      <c r="C144" s="6"/>
      <c r="D144" s="46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2:23" ht="11.25" customHeight="1" x14ac:dyDescent="0.4">
      <c r="B145" s="6"/>
      <c r="C145" s="6"/>
      <c r="D145" s="46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2:23" ht="11.25" customHeight="1" x14ac:dyDescent="0.4">
      <c r="B146" s="6"/>
      <c r="C146" s="6"/>
      <c r="D146" s="46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2:23" ht="11.25" customHeight="1" x14ac:dyDescent="0.4">
      <c r="B147" s="6"/>
      <c r="C147" s="6"/>
      <c r="D147" s="46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2:23" ht="11.25" customHeight="1" x14ac:dyDescent="0.4">
      <c r="B148" s="6"/>
      <c r="C148" s="6"/>
      <c r="D148" s="46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2:23" ht="11.25" customHeight="1" x14ac:dyDescent="0.4">
      <c r="B149" s="6"/>
      <c r="C149" s="6"/>
      <c r="D149" s="46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2:23" ht="11.25" customHeight="1" x14ac:dyDescent="0.4">
      <c r="B150" s="6"/>
      <c r="C150" s="6"/>
      <c r="D150" s="46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2:23" ht="11.25" customHeight="1" x14ac:dyDescent="0.4">
      <c r="B151" s="6"/>
      <c r="C151" s="6"/>
      <c r="D151" s="46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2:23" ht="11.25" customHeight="1" x14ac:dyDescent="0.4">
      <c r="B152" s="6"/>
      <c r="C152" s="6"/>
      <c r="D152" s="46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2:23" ht="11.25" customHeight="1" x14ac:dyDescent="0.4">
      <c r="B153" s="6"/>
      <c r="C153" s="6"/>
      <c r="D153" s="46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2:23" ht="11.25" customHeight="1" x14ac:dyDescent="0.4">
      <c r="B154" s="6"/>
      <c r="C154" s="6"/>
      <c r="D154" s="46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2:23" ht="11.25" customHeight="1" x14ac:dyDescent="0.4">
      <c r="B155" s="6"/>
      <c r="C155" s="6"/>
      <c r="D155" s="46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2:23" ht="11.25" customHeight="1" x14ac:dyDescent="0.4">
      <c r="B156" s="6"/>
      <c r="C156" s="6"/>
      <c r="D156" s="46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2:23" ht="11.25" customHeight="1" x14ac:dyDescent="0.4">
      <c r="B157" s="6"/>
      <c r="C157" s="6"/>
      <c r="D157" s="46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2:23" ht="11.25" customHeight="1" x14ac:dyDescent="0.4">
      <c r="B158" s="6"/>
      <c r="C158" s="6"/>
      <c r="D158" s="46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2:23" ht="11.25" customHeight="1" x14ac:dyDescent="0.4">
      <c r="B159" s="6"/>
      <c r="C159" s="6"/>
      <c r="D159" s="46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2:23" ht="11.25" customHeight="1" x14ac:dyDescent="0.4">
      <c r="B160" s="6"/>
      <c r="C160" s="6"/>
      <c r="D160" s="46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2:23" ht="11.25" customHeight="1" x14ac:dyDescent="0.4">
      <c r="B161" s="6"/>
      <c r="C161" s="6"/>
      <c r="D161" s="46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2:23" ht="11.25" customHeight="1" x14ac:dyDescent="0.4">
      <c r="B162" s="6"/>
      <c r="C162" s="6"/>
      <c r="D162" s="46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2:23" ht="11.25" customHeight="1" x14ac:dyDescent="0.4">
      <c r="B163" s="6"/>
      <c r="C163" s="6"/>
      <c r="D163" s="46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2:23" ht="11.25" customHeight="1" x14ac:dyDescent="0.4">
      <c r="B164" s="6"/>
      <c r="C164" s="6"/>
      <c r="D164" s="46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2:23" ht="11.25" customHeight="1" x14ac:dyDescent="0.4">
      <c r="B165" s="6"/>
      <c r="C165" s="6"/>
      <c r="D165" s="46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2:23" ht="11.25" customHeight="1" x14ac:dyDescent="0.4">
      <c r="B166" s="6"/>
      <c r="C166" s="6"/>
      <c r="D166" s="46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2:23" ht="11.25" customHeight="1" x14ac:dyDescent="0.4">
      <c r="B167" s="6"/>
      <c r="C167" s="6"/>
      <c r="D167" s="46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2:23" ht="11.25" customHeight="1" x14ac:dyDescent="0.4">
      <c r="B168" s="6"/>
      <c r="C168" s="6"/>
      <c r="D168" s="46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2:23" ht="11.25" customHeight="1" x14ac:dyDescent="0.4">
      <c r="B169" s="6"/>
      <c r="C169" s="6"/>
      <c r="D169" s="46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2:23" ht="11.25" customHeight="1" x14ac:dyDescent="0.4">
      <c r="B170" s="6"/>
      <c r="C170" s="6"/>
      <c r="D170" s="46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2:23" ht="11.25" customHeight="1" x14ac:dyDescent="0.4">
      <c r="B171" s="6"/>
      <c r="C171" s="6"/>
      <c r="D171" s="46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2:23" ht="11.25" customHeight="1" x14ac:dyDescent="0.4">
      <c r="B172" s="6"/>
      <c r="C172" s="6"/>
      <c r="D172" s="46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2:23" ht="11.25" customHeight="1" x14ac:dyDescent="0.4">
      <c r="B173" s="6"/>
      <c r="C173" s="6"/>
      <c r="D173" s="46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2:23" ht="11.25" customHeight="1" x14ac:dyDescent="0.4">
      <c r="B174" s="6"/>
      <c r="C174" s="6"/>
      <c r="D174" s="46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2:23" ht="11.25" customHeight="1" x14ac:dyDescent="0.4">
      <c r="B175" s="6"/>
      <c r="C175" s="6"/>
      <c r="D175" s="46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2:23" ht="11.25" customHeight="1" x14ac:dyDescent="0.4">
      <c r="B176" s="6"/>
      <c r="C176" s="6"/>
      <c r="D176" s="46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2:23" ht="11.25" customHeight="1" x14ac:dyDescent="0.4">
      <c r="B177" s="6"/>
      <c r="C177" s="6"/>
      <c r="D177" s="46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2:23" ht="11.25" customHeight="1" x14ac:dyDescent="0.4">
      <c r="B178" s="6"/>
      <c r="C178" s="6"/>
      <c r="D178" s="46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2:23" ht="11.25" customHeight="1" x14ac:dyDescent="0.4">
      <c r="B179" s="6"/>
      <c r="C179" s="6"/>
      <c r="D179" s="46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2:23" ht="11.25" customHeight="1" x14ac:dyDescent="0.4">
      <c r="B180" s="6"/>
      <c r="C180" s="6"/>
      <c r="D180" s="46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2:23" ht="11.25" customHeight="1" x14ac:dyDescent="0.4">
      <c r="B181" s="6"/>
      <c r="C181" s="6"/>
      <c r="D181" s="46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2:23" ht="11.25" customHeight="1" x14ac:dyDescent="0.4">
      <c r="B182" s="6"/>
      <c r="C182" s="6"/>
      <c r="D182" s="46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2:23" ht="11.25" customHeight="1" x14ac:dyDescent="0.4">
      <c r="B183" s="6"/>
      <c r="C183" s="6"/>
      <c r="D183" s="46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2:23" ht="11.25" customHeight="1" x14ac:dyDescent="0.4">
      <c r="B184" s="6"/>
      <c r="C184" s="6"/>
      <c r="D184" s="46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2:23" ht="11.25" customHeight="1" x14ac:dyDescent="0.4">
      <c r="B185" s="6"/>
      <c r="C185" s="6"/>
      <c r="D185" s="46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2:23" ht="11.25" customHeight="1" x14ac:dyDescent="0.4">
      <c r="B186" s="6"/>
      <c r="C186" s="6"/>
      <c r="D186" s="46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2:23" ht="11.25" customHeight="1" x14ac:dyDescent="0.4">
      <c r="B187" s="6"/>
      <c r="C187" s="6"/>
      <c r="D187" s="46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2:23" ht="11.25" customHeight="1" x14ac:dyDescent="0.4">
      <c r="B188" s="6"/>
      <c r="C188" s="6"/>
      <c r="D188" s="46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2:23" ht="11.25" customHeight="1" x14ac:dyDescent="0.4">
      <c r="B189" s="6"/>
      <c r="C189" s="6"/>
      <c r="D189" s="46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2:23" ht="11.25" customHeight="1" x14ac:dyDescent="0.4">
      <c r="B190" s="6"/>
      <c r="C190" s="6"/>
      <c r="D190" s="46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2:23" ht="11.25" customHeight="1" x14ac:dyDescent="0.4">
      <c r="B191" s="6"/>
      <c r="C191" s="6"/>
      <c r="D191" s="46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2:23" ht="11.25" customHeight="1" x14ac:dyDescent="0.4">
      <c r="B192" s="6"/>
      <c r="C192" s="6"/>
      <c r="D192" s="46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2:23" ht="11.25" customHeight="1" x14ac:dyDescent="0.4">
      <c r="B193" s="6"/>
      <c r="C193" s="6"/>
      <c r="D193" s="46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2:23" ht="11.25" customHeight="1" x14ac:dyDescent="0.4">
      <c r="B194" s="6"/>
      <c r="C194" s="6"/>
      <c r="D194" s="46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2:23" ht="11.25" customHeight="1" x14ac:dyDescent="0.4">
      <c r="B195" s="6"/>
      <c r="C195" s="6"/>
      <c r="D195" s="46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2:23" ht="11.25" customHeight="1" x14ac:dyDescent="0.4">
      <c r="B196" s="6"/>
      <c r="C196" s="6"/>
      <c r="D196" s="46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2:23" ht="11.25" customHeight="1" x14ac:dyDescent="0.4">
      <c r="B197" s="6"/>
      <c r="C197" s="6"/>
      <c r="D197" s="46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2:23" ht="11.25" customHeight="1" x14ac:dyDescent="0.4">
      <c r="B198" s="6"/>
      <c r="C198" s="6"/>
      <c r="D198" s="46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2:23" ht="11.25" customHeight="1" x14ac:dyDescent="0.4">
      <c r="B199" s="6"/>
      <c r="C199" s="6"/>
      <c r="D199" s="46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2:23" ht="11.25" customHeight="1" x14ac:dyDescent="0.4">
      <c r="B200" s="6"/>
      <c r="C200" s="6"/>
      <c r="D200" s="46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2:23" ht="11.25" customHeight="1" x14ac:dyDescent="0.4">
      <c r="B201" s="6"/>
      <c r="C201" s="6"/>
      <c r="D201" s="46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2:23" ht="11.25" customHeight="1" x14ac:dyDescent="0.4">
      <c r="B202" s="6"/>
      <c r="C202" s="6"/>
      <c r="D202" s="46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2:23" ht="11.25" customHeight="1" x14ac:dyDescent="0.4">
      <c r="B203" s="6"/>
      <c r="C203" s="6"/>
      <c r="D203" s="46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2:23" ht="11.25" customHeight="1" x14ac:dyDescent="0.4">
      <c r="B204" s="6"/>
      <c r="C204" s="6"/>
      <c r="D204" s="46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2:23" ht="11.25" customHeight="1" x14ac:dyDescent="0.4">
      <c r="B205" s="6"/>
      <c r="C205" s="6"/>
      <c r="D205" s="46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2:23" ht="11.25" customHeight="1" x14ac:dyDescent="0.4">
      <c r="B206" s="6"/>
      <c r="C206" s="6"/>
      <c r="D206" s="46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2:23" ht="11.25" customHeight="1" x14ac:dyDescent="0.4">
      <c r="B207" s="6"/>
      <c r="C207" s="6"/>
      <c r="D207" s="46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2:23" ht="11.25" customHeight="1" x14ac:dyDescent="0.4">
      <c r="B208" s="6"/>
      <c r="C208" s="6"/>
      <c r="D208" s="46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2:23" ht="11.25" customHeight="1" x14ac:dyDescent="0.4">
      <c r="B209" s="6"/>
      <c r="C209" s="6"/>
      <c r="D209" s="46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2:23" ht="11.25" customHeight="1" x14ac:dyDescent="0.4">
      <c r="B210" s="6"/>
      <c r="C210" s="6"/>
      <c r="D210" s="46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2:23" ht="11.25" customHeight="1" x14ac:dyDescent="0.4">
      <c r="B211" s="6"/>
      <c r="C211" s="6"/>
      <c r="D211" s="46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2:23" ht="11.25" customHeight="1" x14ac:dyDescent="0.4">
      <c r="B212" s="6"/>
      <c r="C212" s="6"/>
      <c r="D212" s="46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2:23" ht="11.25" customHeight="1" x14ac:dyDescent="0.4">
      <c r="B213" s="6"/>
      <c r="C213" s="6"/>
      <c r="D213" s="46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2:23" ht="11.25" customHeight="1" x14ac:dyDescent="0.4">
      <c r="B214" s="6"/>
      <c r="C214" s="6"/>
      <c r="D214" s="46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2:23" ht="11.25" customHeight="1" x14ac:dyDescent="0.4">
      <c r="B215" s="6"/>
      <c r="C215" s="6"/>
      <c r="D215" s="46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2:23" ht="11.25" customHeight="1" x14ac:dyDescent="0.4">
      <c r="B216" s="6"/>
      <c r="C216" s="6"/>
      <c r="D216" s="46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2:23" ht="11.25" customHeight="1" x14ac:dyDescent="0.4">
      <c r="B217" s="6"/>
      <c r="C217" s="6"/>
      <c r="D217" s="46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2:23" ht="11.25" customHeight="1" x14ac:dyDescent="0.4">
      <c r="B218" s="6"/>
      <c r="C218" s="6"/>
      <c r="D218" s="46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2:23" ht="11.25" customHeight="1" x14ac:dyDescent="0.4">
      <c r="B219" s="6"/>
      <c r="C219" s="6"/>
      <c r="D219" s="46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2:23" ht="11.25" customHeight="1" x14ac:dyDescent="0.4">
      <c r="B220" s="6"/>
      <c r="C220" s="6"/>
      <c r="D220" s="46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2:23" ht="11.25" customHeight="1" x14ac:dyDescent="0.4">
      <c r="B221" s="6"/>
      <c r="C221" s="6"/>
      <c r="D221" s="46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2:23" ht="11.25" customHeight="1" x14ac:dyDescent="0.4">
      <c r="B222" s="6"/>
      <c r="C222" s="6"/>
      <c r="D222" s="46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2:23" ht="11.25" customHeight="1" x14ac:dyDescent="0.4">
      <c r="B223" s="6"/>
      <c r="C223" s="6"/>
      <c r="D223" s="46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2:23" ht="11.25" customHeight="1" x14ac:dyDescent="0.4">
      <c r="B224" s="6"/>
      <c r="C224" s="6"/>
      <c r="D224" s="46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2:23" ht="11.25" customHeight="1" x14ac:dyDescent="0.4">
      <c r="B225" s="6"/>
      <c r="C225" s="6"/>
      <c r="D225" s="46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2:23" ht="11.25" customHeight="1" x14ac:dyDescent="0.4">
      <c r="B226" s="6"/>
      <c r="C226" s="6"/>
      <c r="D226" s="46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2:23" ht="11.25" customHeight="1" x14ac:dyDescent="0.4">
      <c r="B227" s="6"/>
      <c r="C227" s="6"/>
      <c r="D227" s="46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2:23" ht="11.25" customHeight="1" x14ac:dyDescent="0.4">
      <c r="B228" s="6"/>
      <c r="C228" s="6"/>
      <c r="D228" s="46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2:23" ht="11.25" customHeight="1" x14ac:dyDescent="0.4">
      <c r="B229" s="6"/>
      <c r="C229" s="6"/>
      <c r="D229" s="46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2:23" ht="11.25" customHeight="1" x14ac:dyDescent="0.4">
      <c r="B230" s="6"/>
      <c r="C230" s="6"/>
      <c r="D230" s="46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2:23" ht="11.25" customHeight="1" x14ac:dyDescent="0.4">
      <c r="B231" s="6"/>
      <c r="C231" s="6"/>
      <c r="D231" s="46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2:23" ht="11.25" customHeight="1" x14ac:dyDescent="0.4">
      <c r="B232" s="6"/>
      <c r="C232" s="6"/>
      <c r="D232" s="46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2:23" ht="11.25" customHeight="1" x14ac:dyDescent="0.4">
      <c r="B233" s="6"/>
      <c r="C233" s="6"/>
      <c r="D233" s="46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2:23" ht="11.25" customHeight="1" x14ac:dyDescent="0.4">
      <c r="B234" s="6"/>
      <c r="C234" s="6"/>
      <c r="D234" s="46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2:23" ht="11.25" customHeight="1" x14ac:dyDescent="0.4">
      <c r="B235" s="6"/>
      <c r="C235" s="6"/>
      <c r="D235" s="46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2:23" ht="11.25" customHeight="1" x14ac:dyDescent="0.4">
      <c r="B236" s="6"/>
      <c r="C236" s="6"/>
      <c r="D236" s="46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2:23" ht="11.25" customHeight="1" x14ac:dyDescent="0.4">
      <c r="B237" s="6"/>
      <c r="C237" s="6"/>
      <c r="D237" s="46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2:23" ht="11.25" customHeight="1" x14ac:dyDescent="0.4">
      <c r="B238" s="6"/>
      <c r="C238" s="6"/>
      <c r="D238" s="46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2:23" ht="11.25" customHeight="1" x14ac:dyDescent="0.4">
      <c r="B239" s="6"/>
      <c r="C239" s="6"/>
      <c r="D239" s="46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2:23" ht="11.25" customHeight="1" x14ac:dyDescent="0.4">
      <c r="B240" s="6"/>
      <c r="C240" s="6"/>
      <c r="D240" s="46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2:23" ht="11.25" customHeight="1" x14ac:dyDescent="0.4">
      <c r="B241" s="6"/>
      <c r="C241" s="6"/>
      <c r="D241" s="46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2:23" ht="11.25" customHeight="1" x14ac:dyDescent="0.4">
      <c r="B242" s="6"/>
      <c r="C242" s="6"/>
      <c r="D242" s="46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2:23" ht="11.25" customHeight="1" x14ac:dyDescent="0.4">
      <c r="B243" s="6"/>
      <c r="C243" s="6"/>
      <c r="D243" s="46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2:23" ht="11.25" customHeight="1" x14ac:dyDescent="0.4">
      <c r="B244" s="6"/>
      <c r="C244" s="6"/>
      <c r="D244" s="46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2:23" ht="11.25" customHeight="1" x14ac:dyDescent="0.4">
      <c r="B245" s="6"/>
      <c r="C245" s="6"/>
      <c r="D245" s="46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2:23" ht="11.25" customHeight="1" x14ac:dyDescent="0.4">
      <c r="B246" s="6"/>
      <c r="C246" s="6"/>
      <c r="D246" s="46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2:23" ht="11.25" customHeight="1" x14ac:dyDescent="0.4">
      <c r="B247" s="6"/>
      <c r="C247" s="6"/>
      <c r="D247" s="46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2:23" ht="11.25" customHeight="1" x14ac:dyDescent="0.4">
      <c r="B248" s="6"/>
      <c r="C248" s="6"/>
      <c r="D248" s="46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2:23" ht="11.25" customHeight="1" x14ac:dyDescent="0.4">
      <c r="B249" s="6"/>
      <c r="C249" s="6"/>
      <c r="D249" s="46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2:23" ht="11.25" customHeight="1" x14ac:dyDescent="0.4">
      <c r="B250" s="6"/>
      <c r="C250" s="6"/>
      <c r="D250" s="46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2:23" ht="11.25" customHeight="1" x14ac:dyDescent="0.4">
      <c r="B251" s="6"/>
      <c r="C251" s="6"/>
      <c r="D251" s="46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2:23" ht="11.25" customHeight="1" x14ac:dyDescent="0.4">
      <c r="B252" s="6"/>
      <c r="C252" s="6"/>
      <c r="D252" s="46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2:23" ht="11.25" customHeight="1" x14ac:dyDescent="0.4">
      <c r="B253" s="6"/>
      <c r="C253" s="6"/>
      <c r="D253" s="46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2:23" ht="11.25" customHeight="1" x14ac:dyDescent="0.4">
      <c r="B254" s="6"/>
      <c r="C254" s="6"/>
      <c r="D254" s="46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2:23" ht="11.25" customHeight="1" x14ac:dyDescent="0.4">
      <c r="B255" s="6"/>
      <c r="C255" s="6"/>
      <c r="D255" s="46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2:23" ht="11.25" customHeight="1" x14ac:dyDescent="0.4">
      <c r="B256" s="6"/>
      <c r="C256" s="6"/>
      <c r="D256" s="46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2:23" ht="11.25" customHeight="1" x14ac:dyDescent="0.4">
      <c r="B257" s="6"/>
      <c r="C257" s="6"/>
      <c r="D257" s="46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2:23" ht="11.25" customHeight="1" x14ac:dyDescent="0.4">
      <c r="B258" s="6"/>
      <c r="C258" s="6"/>
      <c r="D258" s="46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2:23" ht="11.25" customHeight="1" x14ac:dyDescent="0.4">
      <c r="B259" s="6"/>
      <c r="C259" s="6"/>
      <c r="D259" s="46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2:23" ht="11.25" customHeight="1" x14ac:dyDescent="0.4">
      <c r="B260" s="6"/>
      <c r="C260" s="6"/>
      <c r="D260" s="46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2:23" ht="11.25" customHeight="1" x14ac:dyDescent="0.4">
      <c r="B261" s="6"/>
      <c r="C261" s="6"/>
      <c r="D261" s="46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2:23" ht="11.25" customHeight="1" x14ac:dyDescent="0.4">
      <c r="B262" s="6"/>
      <c r="C262" s="6"/>
      <c r="D262" s="46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2:23" ht="11.25" customHeight="1" x14ac:dyDescent="0.4">
      <c r="B263" s="6"/>
      <c r="C263" s="6"/>
      <c r="D263" s="46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2:23" ht="11.25" customHeight="1" x14ac:dyDescent="0.4">
      <c r="B264" s="6"/>
      <c r="C264" s="6"/>
      <c r="D264" s="46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2:23" ht="11.25" customHeight="1" x14ac:dyDescent="0.4">
      <c r="B265" s="6"/>
      <c r="C265" s="6"/>
      <c r="D265" s="46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2:23" ht="11.25" customHeight="1" x14ac:dyDescent="0.4">
      <c r="B266" s="6"/>
      <c r="C266" s="6"/>
      <c r="D266" s="46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2:23" ht="11.25" customHeight="1" x14ac:dyDescent="0.4">
      <c r="B267" s="6"/>
      <c r="C267" s="6"/>
      <c r="D267" s="46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2:23" ht="11.25" customHeight="1" x14ac:dyDescent="0.4">
      <c r="B268" s="6"/>
      <c r="C268" s="6"/>
      <c r="D268" s="46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2:23" ht="11.25" customHeight="1" x14ac:dyDescent="0.4">
      <c r="B269" s="6"/>
      <c r="C269" s="6"/>
      <c r="D269" s="46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2:23" ht="11.25" customHeight="1" x14ac:dyDescent="0.4">
      <c r="B270" s="6"/>
      <c r="C270" s="6"/>
      <c r="D270" s="46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2:23" ht="11.25" customHeight="1" x14ac:dyDescent="0.4">
      <c r="B271" s="6"/>
      <c r="C271" s="6"/>
      <c r="D271" s="46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2:23" ht="11.25" customHeight="1" x14ac:dyDescent="0.4">
      <c r="B272" s="6"/>
      <c r="C272" s="6"/>
      <c r="D272" s="46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2:23" ht="11.25" customHeight="1" x14ac:dyDescent="0.4">
      <c r="B273" s="6"/>
      <c r="C273" s="6"/>
      <c r="D273" s="46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2:23" ht="11.25" customHeight="1" x14ac:dyDescent="0.4">
      <c r="B274" s="6"/>
      <c r="C274" s="6"/>
      <c r="D274" s="46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2:23" ht="11.25" customHeight="1" x14ac:dyDescent="0.4">
      <c r="B275" s="6"/>
      <c r="C275" s="6"/>
      <c r="D275" s="46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2:23" ht="11.25" customHeight="1" x14ac:dyDescent="0.4">
      <c r="B276" s="6"/>
      <c r="C276" s="6"/>
      <c r="D276" s="46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2:23" ht="11.25" customHeight="1" x14ac:dyDescent="0.4">
      <c r="B277" s="6"/>
      <c r="C277" s="6"/>
      <c r="D277" s="46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2:23" ht="11.25" customHeight="1" x14ac:dyDescent="0.4">
      <c r="B278" s="6"/>
      <c r="C278" s="6"/>
      <c r="D278" s="46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2:23" ht="15.75" customHeight="1" x14ac:dyDescent="0.4"/>
    <row r="280" spans="2:23" ht="15.75" customHeight="1" x14ac:dyDescent="0.4"/>
    <row r="281" spans="2:23" ht="15.75" customHeight="1" x14ac:dyDescent="0.4"/>
    <row r="282" spans="2:23" ht="15.75" customHeight="1" x14ac:dyDescent="0.4"/>
    <row r="283" spans="2:23" ht="15.75" customHeight="1" x14ac:dyDescent="0.4"/>
    <row r="284" spans="2:23" ht="15.75" customHeight="1" x14ac:dyDescent="0.4"/>
    <row r="285" spans="2:23" ht="15.75" customHeight="1" x14ac:dyDescent="0.4"/>
    <row r="286" spans="2:23" ht="15.75" customHeight="1" x14ac:dyDescent="0.4"/>
    <row r="287" spans="2:23" ht="15.75" customHeight="1" x14ac:dyDescent="0.4"/>
    <row r="288" spans="2:23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001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53125" defaultRowHeight="15" customHeight="1" x14ac:dyDescent="0.4"/>
  <cols>
    <col min="1" max="1" width="4.26953125" customWidth="1"/>
    <col min="2" max="2" width="42" customWidth="1"/>
    <col min="3" max="3" width="7.453125" customWidth="1"/>
    <col min="4" max="4" width="4.26953125" customWidth="1"/>
    <col min="5" max="5" width="8.1796875" customWidth="1"/>
    <col min="6" max="7" width="4.81640625" customWidth="1"/>
    <col min="8" max="8" width="7.1796875" customWidth="1"/>
    <col min="9" max="10" width="4" customWidth="1"/>
    <col min="11" max="11" width="8" customWidth="1"/>
    <col min="12" max="12" width="10" customWidth="1"/>
    <col min="13" max="15" width="5" customWidth="1"/>
    <col min="16" max="27" width="8" customWidth="1"/>
  </cols>
  <sheetData>
    <row r="1" spans="1:27" ht="14.25" customHeight="1" x14ac:dyDescent="0.4">
      <c r="A1" s="41"/>
      <c r="B1" s="532" t="str">
        <f>'University-wide'!A1</f>
        <v>University of California, San Diego Survey of Parking Space Occupancy Levels, Spring 2022</v>
      </c>
      <c r="C1" s="520"/>
      <c r="D1" s="520"/>
      <c r="E1" s="520"/>
      <c r="F1" s="520"/>
      <c r="G1" s="520"/>
      <c r="H1" s="520"/>
      <c r="I1" s="520"/>
      <c r="J1" s="520"/>
      <c r="K1" s="520"/>
      <c r="L1" s="41"/>
      <c r="M1" s="41"/>
      <c r="N1" s="41"/>
      <c r="O1" s="4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 x14ac:dyDescent="0.4">
      <c r="A2" s="41"/>
      <c r="B2" s="532" t="s">
        <v>711</v>
      </c>
      <c r="C2" s="520"/>
      <c r="D2" s="520"/>
      <c r="E2" s="520"/>
      <c r="F2" s="520"/>
      <c r="G2" s="520"/>
      <c r="H2" s="520"/>
      <c r="I2" s="520"/>
      <c r="J2" s="520"/>
      <c r="K2" s="520"/>
      <c r="L2" s="41"/>
      <c r="M2" s="41"/>
      <c r="N2" s="41"/>
      <c r="O2" s="4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1.25" customHeight="1" x14ac:dyDescent="0.4">
      <c r="A3" s="6"/>
      <c r="B3" s="6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1.25" customHeight="1" x14ac:dyDescent="0.4">
      <c r="A4" s="42" t="s">
        <v>712</v>
      </c>
      <c r="B4" s="42" t="s">
        <v>14</v>
      </c>
      <c r="C4" s="467" t="s">
        <v>713</v>
      </c>
      <c r="D4" s="468">
        <v>2</v>
      </c>
      <c r="E4" s="468">
        <v>3</v>
      </c>
      <c r="F4" s="469">
        <v>4</v>
      </c>
      <c r="G4" s="468">
        <v>5</v>
      </c>
      <c r="H4" s="468">
        <v>6</v>
      </c>
      <c r="I4" s="469">
        <v>7</v>
      </c>
      <c r="J4" s="469">
        <v>8</v>
      </c>
      <c r="K4" s="469">
        <v>9</v>
      </c>
      <c r="L4" s="469">
        <v>10</v>
      </c>
      <c r="M4" s="469">
        <v>11</v>
      </c>
      <c r="N4" s="469">
        <v>12</v>
      </c>
      <c r="O4" s="470">
        <v>13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.5" customHeight="1" x14ac:dyDescent="0.4">
      <c r="A5" s="51"/>
      <c r="B5" s="51"/>
      <c r="C5" s="471"/>
      <c r="D5" s="472"/>
      <c r="E5" s="472"/>
      <c r="F5" s="45"/>
      <c r="G5" s="472"/>
      <c r="H5" s="472"/>
      <c r="I5" s="473"/>
      <c r="J5" s="473"/>
      <c r="K5" s="473"/>
      <c r="L5" s="473"/>
      <c r="M5" s="473"/>
      <c r="N5" s="473"/>
      <c r="O5" s="47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1.25" customHeight="1" x14ac:dyDescent="0.4">
      <c r="A6" s="475">
        <v>1</v>
      </c>
      <c r="B6" s="475" t="s">
        <v>714</v>
      </c>
      <c r="C6" s="476"/>
      <c r="D6" s="477"/>
      <c r="E6" s="478" t="s">
        <v>715</v>
      </c>
      <c r="F6" s="479"/>
      <c r="G6" s="478"/>
      <c r="H6" s="479"/>
      <c r="I6" s="479"/>
      <c r="J6" s="479"/>
      <c r="K6" s="479"/>
      <c r="L6" s="479"/>
      <c r="M6" s="9"/>
      <c r="N6" s="479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1.25" customHeight="1" x14ac:dyDescent="0.4">
      <c r="A7" s="475">
        <v>1</v>
      </c>
      <c r="B7" s="475" t="s">
        <v>716</v>
      </c>
      <c r="C7" s="476"/>
      <c r="D7" s="480"/>
      <c r="E7" s="481" t="s">
        <v>715</v>
      </c>
      <c r="F7" s="482"/>
      <c r="G7" s="481"/>
      <c r="H7" s="482"/>
      <c r="I7" s="482"/>
      <c r="J7" s="482"/>
      <c r="K7" s="482"/>
      <c r="L7" s="482"/>
      <c r="M7" s="9"/>
      <c r="N7" s="482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1.25" customHeight="1" x14ac:dyDescent="0.4">
      <c r="A8" s="475">
        <v>1</v>
      </c>
      <c r="B8" s="475" t="s">
        <v>717</v>
      </c>
      <c r="C8" s="476"/>
      <c r="D8" s="480"/>
      <c r="E8" s="481" t="s">
        <v>715</v>
      </c>
      <c r="F8" s="482"/>
      <c r="G8" s="481"/>
      <c r="H8" s="482"/>
      <c r="I8" s="482"/>
      <c r="J8" s="482"/>
      <c r="K8" s="482"/>
      <c r="L8" s="482"/>
      <c r="M8" s="9"/>
      <c r="N8" s="482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1.25" customHeight="1" x14ac:dyDescent="0.4">
      <c r="A9" s="475">
        <v>1</v>
      </c>
      <c r="B9" s="475" t="s">
        <v>16</v>
      </c>
      <c r="C9" s="476"/>
      <c r="D9" s="480"/>
      <c r="E9" s="481" t="s">
        <v>715</v>
      </c>
      <c r="F9" s="482"/>
      <c r="G9" s="481"/>
      <c r="H9" s="482"/>
      <c r="I9" s="482"/>
      <c r="J9" s="482"/>
      <c r="K9" s="482"/>
      <c r="L9" s="482"/>
      <c r="M9" s="9"/>
      <c r="N9" s="482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1.25" customHeight="1" x14ac:dyDescent="0.4">
      <c r="A10" s="483">
        <v>2</v>
      </c>
      <c r="B10" s="483" t="s">
        <v>718</v>
      </c>
      <c r="C10" s="484"/>
      <c r="D10" s="485"/>
      <c r="E10" s="486"/>
      <c r="F10" s="487"/>
      <c r="G10" s="488"/>
      <c r="H10" s="487" t="s">
        <v>719</v>
      </c>
      <c r="I10" s="489"/>
      <c r="J10" s="489"/>
      <c r="K10" s="489"/>
      <c r="L10" s="489"/>
      <c r="M10" s="490"/>
      <c r="N10" s="489"/>
      <c r="O10" s="49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1.25" customHeight="1" x14ac:dyDescent="0.4">
      <c r="A11" s="483">
        <v>2</v>
      </c>
      <c r="B11" s="483" t="s">
        <v>720</v>
      </c>
      <c r="C11" s="484"/>
      <c r="D11" s="492"/>
      <c r="E11" s="493"/>
      <c r="F11" s="489"/>
      <c r="G11" s="493"/>
      <c r="H11" s="489" t="s">
        <v>719</v>
      </c>
      <c r="I11" s="489"/>
      <c r="J11" s="489"/>
      <c r="K11" s="489"/>
      <c r="L11" s="489"/>
      <c r="M11" s="490"/>
      <c r="N11" s="489"/>
      <c r="O11" s="49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1.25" customHeight="1" x14ac:dyDescent="0.4">
      <c r="A12" s="475">
        <v>3</v>
      </c>
      <c r="B12" s="475" t="s">
        <v>721</v>
      </c>
      <c r="C12" s="8"/>
      <c r="D12" s="480"/>
      <c r="E12" s="481"/>
      <c r="F12" s="494"/>
      <c r="G12" s="481"/>
      <c r="H12" s="482" t="s">
        <v>719</v>
      </c>
      <c r="I12" s="482"/>
      <c r="J12" s="482"/>
      <c r="K12" s="482"/>
      <c r="L12" s="482"/>
      <c r="M12" s="9"/>
      <c r="N12" s="482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1.25" customHeight="1" x14ac:dyDescent="0.4">
      <c r="A13" s="475"/>
      <c r="B13" s="475" t="s">
        <v>722</v>
      </c>
      <c r="C13" s="8"/>
      <c r="D13" s="480"/>
      <c r="E13" s="481" t="s">
        <v>723</v>
      </c>
      <c r="F13" s="494"/>
      <c r="G13" s="481"/>
      <c r="H13" s="482"/>
      <c r="I13" s="482"/>
      <c r="J13" s="482"/>
      <c r="K13" s="482"/>
      <c r="L13" s="482"/>
      <c r="M13" s="9"/>
      <c r="N13" s="482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1.25" customHeight="1" x14ac:dyDescent="0.4">
      <c r="A14" s="483">
        <v>4</v>
      </c>
      <c r="B14" s="483" t="s">
        <v>724</v>
      </c>
      <c r="C14" s="484"/>
      <c r="D14" s="495"/>
      <c r="E14" s="493" t="s">
        <v>715</v>
      </c>
      <c r="F14" s="493"/>
      <c r="G14" s="495"/>
      <c r="H14" s="496"/>
      <c r="I14" s="489"/>
      <c r="J14" s="489"/>
      <c r="K14" s="489"/>
      <c r="L14" s="489"/>
      <c r="M14" s="490"/>
      <c r="N14" s="489"/>
      <c r="O14" s="49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1.25" customHeight="1" x14ac:dyDescent="0.4">
      <c r="A15" s="483">
        <v>4</v>
      </c>
      <c r="B15" s="483" t="s">
        <v>725</v>
      </c>
      <c r="C15" s="484"/>
      <c r="D15" s="495"/>
      <c r="E15" s="493" t="s">
        <v>715</v>
      </c>
      <c r="F15" s="493"/>
      <c r="G15" s="495"/>
      <c r="H15" s="496"/>
      <c r="I15" s="489"/>
      <c r="J15" s="489"/>
      <c r="K15" s="489"/>
      <c r="L15" s="489"/>
      <c r="M15" s="490"/>
      <c r="N15" s="489"/>
      <c r="O15" s="49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1.25" customHeight="1" x14ac:dyDescent="0.4">
      <c r="A16" s="475">
        <v>5</v>
      </c>
      <c r="B16" s="475" t="s">
        <v>726</v>
      </c>
      <c r="C16" s="8"/>
      <c r="D16" s="480"/>
      <c r="E16" s="480"/>
      <c r="F16" s="497"/>
      <c r="G16" s="481"/>
      <c r="H16" s="482" t="s">
        <v>719</v>
      </c>
      <c r="I16" s="482"/>
      <c r="J16" s="482"/>
      <c r="K16" s="482"/>
      <c r="L16" s="482"/>
      <c r="M16" s="9"/>
      <c r="N16" s="482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1.25" customHeight="1" x14ac:dyDescent="0.4">
      <c r="A17" s="483">
        <v>6</v>
      </c>
      <c r="B17" s="483" t="s">
        <v>727</v>
      </c>
      <c r="C17" s="484"/>
      <c r="D17" s="495"/>
      <c r="E17" s="495" t="s">
        <v>723</v>
      </c>
      <c r="F17" s="498"/>
      <c r="G17" s="493"/>
      <c r="H17" s="499"/>
      <c r="I17" s="489"/>
      <c r="J17" s="489"/>
      <c r="K17" s="496"/>
      <c r="L17" s="489"/>
      <c r="M17" s="490"/>
      <c r="N17" s="489"/>
      <c r="O17" s="49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1.25" customHeight="1" x14ac:dyDescent="0.4">
      <c r="A18" s="475">
        <v>7</v>
      </c>
      <c r="B18" s="475" t="s">
        <v>728</v>
      </c>
      <c r="C18" s="8"/>
      <c r="D18" s="480"/>
      <c r="E18" s="480" t="s">
        <v>715</v>
      </c>
      <c r="F18" s="480"/>
      <c r="G18" s="480"/>
      <c r="H18" s="494"/>
      <c r="I18" s="494"/>
      <c r="J18" s="482"/>
      <c r="K18" s="482"/>
      <c r="L18" s="500"/>
      <c r="M18" s="501"/>
      <c r="N18" s="50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1.25" customHeight="1" x14ac:dyDescent="0.4">
      <c r="A19" s="475">
        <v>7</v>
      </c>
      <c r="B19" s="475" t="s">
        <v>729</v>
      </c>
      <c r="C19" s="8"/>
      <c r="D19" s="480"/>
      <c r="E19" s="480"/>
      <c r="F19" s="480"/>
      <c r="G19" s="480"/>
      <c r="H19" s="494"/>
      <c r="I19" s="494"/>
      <c r="J19" s="482"/>
      <c r="K19" s="482" t="s">
        <v>730</v>
      </c>
      <c r="L19" s="500"/>
      <c r="M19" s="501"/>
      <c r="N19" s="50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1.25" customHeight="1" x14ac:dyDescent="0.4">
      <c r="A20" s="483">
        <v>8</v>
      </c>
      <c r="B20" s="483" t="s">
        <v>731</v>
      </c>
      <c r="C20" s="484"/>
      <c r="D20" s="495"/>
      <c r="E20" s="495"/>
      <c r="F20" s="489"/>
      <c r="G20" s="492"/>
      <c r="H20" s="498" t="s">
        <v>719</v>
      </c>
      <c r="I20" s="489"/>
      <c r="J20" s="499"/>
      <c r="K20" s="489"/>
      <c r="L20" s="489"/>
      <c r="M20" s="490"/>
      <c r="N20" s="489"/>
      <c r="O20" s="49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1.25" customHeight="1" x14ac:dyDescent="0.4">
      <c r="A21" s="475">
        <v>9</v>
      </c>
      <c r="B21" s="475" t="s">
        <v>732</v>
      </c>
      <c r="C21" s="8"/>
      <c r="D21" s="480"/>
      <c r="E21" s="480" t="s">
        <v>723</v>
      </c>
      <c r="F21" s="482"/>
      <c r="G21" s="502"/>
      <c r="H21" s="502"/>
      <c r="I21" s="494"/>
      <c r="J21" s="494"/>
      <c r="K21" s="482"/>
      <c r="L21" s="482"/>
      <c r="M21" s="9"/>
      <c r="N21" s="482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1.25" customHeight="1" x14ac:dyDescent="0.4">
      <c r="A22" s="483">
        <v>10</v>
      </c>
      <c r="B22" s="483" t="s">
        <v>733</v>
      </c>
      <c r="C22" s="484"/>
      <c r="D22" s="495"/>
      <c r="E22" s="495"/>
      <c r="F22" s="489"/>
      <c r="G22" s="495"/>
      <c r="H22" s="489" t="s">
        <v>719</v>
      </c>
      <c r="I22" s="498"/>
      <c r="J22" s="489"/>
      <c r="K22" s="499"/>
      <c r="L22" s="489"/>
      <c r="M22" s="490"/>
      <c r="N22" s="489"/>
      <c r="O22" s="49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1.25" customHeight="1" x14ac:dyDescent="0.4">
      <c r="A23" s="483">
        <v>16</v>
      </c>
      <c r="B23" s="483" t="s">
        <v>733</v>
      </c>
      <c r="C23" s="484"/>
      <c r="D23" s="495"/>
      <c r="E23" s="495"/>
      <c r="F23" s="489"/>
      <c r="G23" s="495"/>
      <c r="H23" s="489" t="s">
        <v>734</v>
      </c>
      <c r="I23" s="498"/>
      <c r="J23" s="489"/>
      <c r="K23" s="499"/>
      <c r="L23" s="489"/>
      <c r="M23" s="490"/>
      <c r="N23" s="489"/>
      <c r="O23" s="49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1.25" customHeight="1" x14ac:dyDescent="0.4">
      <c r="A24" s="475">
        <v>11</v>
      </c>
      <c r="B24" s="475" t="s">
        <v>735</v>
      </c>
      <c r="C24" s="8"/>
      <c r="D24" s="480"/>
      <c r="E24" s="480" t="s">
        <v>723</v>
      </c>
      <c r="F24" s="482"/>
      <c r="G24" s="480"/>
      <c r="H24" s="482"/>
      <c r="I24" s="482"/>
      <c r="J24" s="494"/>
      <c r="K24" s="497"/>
      <c r="L24" s="482"/>
      <c r="M24" s="9"/>
      <c r="N24" s="482"/>
      <c r="O24" s="503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1.25" customHeight="1" x14ac:dyDescent="0.4">
      <c r="A25" s="475">
        <v>11</v>
      </c>
      <c r="B25" s="475" t="s">
        <v>736</v>
      </c>
      <c r="C25" s="8"/>
      <c r="D25" s="480"/>
      <c r="E25" s="480" t="s">
        <v>723</v>
      </c>
      <c r="F25" s="482"/>
      <c r="G25" s="480"/>
      <c r="H25" s="482"/>
      <c r="I25" s="482"/>
      <c r="J25" s="494"/>
      <c r="K25" s="497"/>
      <c r="L25" s="482"/>
      <c r="M25" s="9"/>
      <c r="N25" s="482"/>
      <c r="O25" s="503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1.25" customHeight="1" x14ac:dyDescent="0.4">
      <c r="A26" s="475">
        <v>17</v>
      </c>
      <c r="B26" s="475" t="s">
        <v>353</v>
      </c>
      <c r="C26" s="8"/>
      <c r="D26" s="480"/>
      <c r="E26" s="480"/>
      <c r="F26" s="482"/>
      <c r="G26" s="480"/>
      <c r="H26" s="482"/>
      <c r="I26" s="482"/>
      <c r="J26" s="494"/>
      <c r="K26" s="497" t="s">
        <v>730</v>
      </c>
      <c r="L26" s="482"/>
      <c r="M26" s="9"/>
      <c r="N26" s="482"/>
      <c r="O26" s="503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1.25" customHeight="1" x14ac:dyDescent="0.4">
      <c r="A27" s="483">
        <v>12</v>
      </c>
      <c r="B27" s="483" t="s">
        <v>737</v>
      </c>
      <c r="C27" s="484"/>
      <c r="D27" s="495"/>
      <c r="E27" s="495"/>
      <c r="F27" s="489"/>
      <c r="G27" s="495"/>
      <c r="H27" s="489" t="s">
        <v>719</v>
      </c>
      <c r="I27" s="489"/>
      <c r="J27" s="499"/>
      <c r="K27" s="498"/>
      <c r="L27" s="498"/>
      <c r="M27" s="504"/>
      <c r="N27" s="498"/>
      <c r="O27" s="50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1.25" customHeight="1" x14ac:dyDescent="0.4">
      <c r="A28" s="475">
        <v>13</v>
      </c>
      <c r="B28" s="475" t="s">
        <v>738</v>
      </c>
      <c r="C28" s="8"/>
      <c r="D28" s="480"/>
      <c r="E28" s="480"/>
      <c r="F28" s="482"/>
      <c r="G28" s="480"/>
      <c r="H28" s="482" t="s">
        <v>734</v>
      </c>
      <c r="I28" s="482"/>
      <c r="J28" s="482"/>
      <c r="K28" s="494"/>
      <c r="L28" s="497"/>
      <c r="M28" s="506"/>
      <c r="N28" s="497"/>
      <c r="O28" s="503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1.25" customHeight="1" x14ac:dyDescent="0.4">
      <c r="A29" s="483">
        <v>14</v>
      </c>
      <c r="B29" s="483" t="s">
        <v>739</v>
      </c>
      <c r="C29" s="484"/>
      <c r="D29" s="493"/>
      <c r="E29" s="495"/>
      <c r="F29" s="499"/>
      <c r="G29" s="495"/>
      <c r="H29" s="489"/>
      <c r="I29" s="489"/>
      <c r="J29" s="489"/>
      <c r="K29" s="489"/>
      <c r="L29" s="489" t="s">
        <v>740</v>
      </c>
      <c r="M29" s="507"/>
      <c r="N29" s="499"/>
      <c r="O29" s="50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1.25" customHeight="1" x14ac:dyDescent="0.4">
      <c r="A30" s="509">
        <v>15</v>
      </c>
      <c r="B30" s="509" t="s">
        <v>741</v>
      </c>
      <c r="C30" s="510"/>
      <c r="D30" s="511"/>
      <c r="E30" s="511"/>
      <c r="F30" s="512"/>
      <c r="G30" s="511"/>
      <c r="H30" s="512"/>
      <c r="I30" s="512"/>
      <c r="J30" s="512"/>
      <c r="K30" s="512"/>
      <c r="L30" s="512" t="s">
        <v>742</v>
      </c>
      <c r="M30" s="513"/>
      <c r="N30" s="514"/>
      <c r="O30" s="51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1.25" customHeight="1" x14ac:dyDescent="0.4">
      <c r="A31" s="288"/>
      <c r="B31" s="288"/>
      <c r="C31" s="462"/>
      <c r="D31" s="462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1.25" customHeight="1" x14ac:dyDescent="0.4">
      <c r="A32" s="288"/>
      <c r="B32" s="288" t="s">
        <v>743</v>
      </c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1.25" customHeight="1" x14ac:dyDescent="0.4">
      <c r="A33" s="6"/>
      <c r="B33" s="6" t="s">
        <v>744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1.25" customHeight="1" x14ac:dyDescent="0.4">
      <c r="A34" s="6"/>
      <c r="B34" s="6" t="s">
        <v>745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1.25" customHeight="1" x14ac:dyDescent="0.4">
      <c r="A35" s="6"/>
      <c r="B35" s="6" t="s">
        <v>746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1.25" customHeight="1" x14ac:dyDescent="0.4">
      <c r="A36" s="6"/>
      <c r="B36" s="58"/>
      <c r="C36" s="84"/>
      <c r="D36" s="8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1.25" customHeight="1" x14ac:dyDescent="0.4">
      <c r="A37" s="6"/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1.25" customHeight="1" x14ac:dyDescent="0.4">
      <c r="A38" s="6"/>
      <c r="B38" s="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1.25" customHeight="1" x14ac:dyDescent="0.4">
      <c r="A39" s="6"/>
      <c r="B39" s="6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1.25" customHeight="1" x14ac:dyDescent="0.4">
      <c r="A40" s="6"/>
      <c r="B40" s="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1.25" customHeight="1" x14ac:dyDescent="0.4">
      <c r="A41" s="6"/>
      <c r="B41" s="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1.25" customHeight="1" x14ac:dyDescent="0.4">
      <c r="A42" s="6"/>
      <c r="B42" s="6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1.25" customHeight="1" x14ac:dyDescent="0.4">
      <c r="A43" s="6"/>
      <c r="B43" s="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1.25" customHeight="1" x14ac:dyDescent="0.4">
      <c r="A44" s="6"/>
      <c r="B44" s="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1.25" customHeight="1" x14ac:dyDescent="0.4">
      <c r="A45" s="6"/>
      <c r="B45" s="6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1.25" customHeight="1" x14ac:dyDescent="0.4">
      <c r="A46" s="6"/>
      <c r="B46" s="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1.25" customHeight="1" x14ac:dyDescent="0.4">
      <c r="A47" s="6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1.25" customHeight="1" x14ac:dyDescent="0.4">
      <c r="A48" s="6"/>
      <c r="B48" s="6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1.25" customHeight="1" x14ac:dyDescent="0.4">
      <c r="A49" s="6"/>
      <c r="B49" s="6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1.25" customHeight="1" x14ac:dyDescent="0.4">
      <c r="A50" s="6"/>
      <c r="B50" s="6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1.25" customHeight="1" x14ac:dyDescent="0.4">
      <c r="A51" s="6"/>
      <c r="B51" s="6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1.25" customHeight="1" x14ac:dyDescent="0.4">
      <c r="A52" s="6"/>
      <c r="B52" s="6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1.25" customHeight="1" x14ac:dyDescent="0.4">
      <c r="A53" s="6"/>
      <c r="B53" s="6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1.25" customHeight="1" x14ac:dyDescent="0.4">
      <c r="A54" s="6"/>
      <c r="B54" s="6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1.25" customHeight="1" x14ac:dyDescent="0.4">
      <c r="A55" s="6"/>
      <c r="B55" s="6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1.25" customHeight="1" x14ac:dyDescent="0.4">
      <c r="A56" s="6"/>
      <c r="B56" s="6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1.25" customHeight="1" x14ac:dyDescent="0.4">
      <c r="A57" s="6"/>
      <c r="B57" s="6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1.25" customHeight="1" x14ac:dyDescent="0.4">
      <c r="A58" s="6"/>
      <c r="B58" s="6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1.25" customHeight="1" x14ac:dyDescent="0.4">
      <c r="A59" s="6"/>
      <c r="B59" s="6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1.25" customHeight="1" x14ac:dyDescent="0.4">
      <c r="A60" s="6"/>
      <c r="B60" s="6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1.25" customHeight="1" x14ac:dyDescent="0.4">
      <c r="A61" s="6"/>
      <c r="B61" s="6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1.25" customHeight="1" x14ac:dyDescent="0.4">
      <c r="A62" s="6"/>
      <c r="B62" s="6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1.25" customHeight="1" x14ac:dyDescent="0.4">
      <c r="A63" s="6"/>
      <c r="B63" s="6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1.25" customHeight="1" x14ac:dyDescent="0.4">
      <c r="A64" s="6"/>
      <c r="B64" s="6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1.25" customHeight="1" x14ac:dyDescent="0.4">
      <c r="A65" s="6"/>
      <c r="B65" s="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1.25" customHeight="1" x14ac:dyDescent="0.4">
      <c r="A66" s="6"/>
      <c r="B66" s="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1.25" customHeight="1" x14ac:dyDescent="0.4">
      <c r="A67" s="6"/>
      <c r="B67" s="6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1.25" customHeight="1" x14ac:dyDescent="0.4">
      <c r="A68" s="6"/>
      <c r="B68" s="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1.25" customHeight="1" x14ac:dyDescent="0.4">
      <c r="A69" s="6"/>
      <c r="B69" s="6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1.25" customHeight="1" x14ac:dyDescent="0.4">
      <c r="A70" s="6"/>
      <c r="B70" s="6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1.25" customHeight="1" x14ac:dyDescent="0.4">
      <c r="A71" s="6"/>
      <c r="B71" s="6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1.25" customHeight="1" x14ac:dyDescent="0.4">
      <c r="A72" s="6"/>
      <c r="B72" s="6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1.25" customHeight="1" x14ac:dyDescent="0.4">
      <c r="A73" s="6"/>
      <c r="B73" s="6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1.25" customHeight="1" x14ac:dyDescent="0.4">
      <c r="A74" s="6"/>
      <c r="B74" s="6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1.25" customHeight="1" x14ac:dyDescent="0.4">
      <c r="A75" s="6"/>
      <c r="B75" s="6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1.25" customHeight="1" x14ac:dyDescent="0.4">
      <c r="A76" s="6"/>
      <c r="B76" s="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1.25" customHeight="1" x14ac:dyDescent="0.4">
      <c r="A77" s="6"/>
      <c r="B77" s="6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1.25" customHeight="1" x14ac:dyDescent="0.4">
      <c r="A78" s="6"/>
      <c r="B78" s="6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1.25" customHeight="1" x14ac:dyDescent="0.4">
      <c r="A79" s="6"/>
      <c r="B79" s="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1.25" customHeight="1" x14ac:dyDescent="0.4">
      <c r="A80" s="6"/>
      <c r="B80" s="6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1.25" customHeight="1" x14ac:dyDescent="0.4">
      <c r="A81" s="6"/>
      <c r="B81" s="6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1.25" customHeight="1" x14ac:dyDescent="0.4">
      <c r="A82" s="6"/>
      <c r="B82" s="6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1.25" customHeight="1" x14ac:dyDescent="0.4">
      <c r="A83" s="6"/>
      <c r="B83" s="6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1.25" customHeight="1" x14ac:dyDescent="0.4">
      <c r="A84" s="6"/>
      <c r="B84" s="6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1.25" customHeight="1" x14ac:dyDescent="0.4">
      <c r="A85" s="6"/>
      <c r="B85" s="6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1.25" customHeight="1" x14ac:dyDescent="0.4">
      <c r="A86" s="6"/>
      <c r="B86" s="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1.25" customHeight="1" x14ac:dyDescent="0.4">
      <c r="A87" s="6"/>
      <c r="B87" s="6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1.25" customHeight="1" x14ac:dyDescent="0.4">
      <c r="A88" s="6"/>
      <c r="B88" s="6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1.25" customHeight="1" x14ac:dyDescent="0.4">
      <c r="A89" s="6"/>
      <c r="B89" s="6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1.25" customHeight="1" x14ac:dyDescent="0.4">
      <c r="A90" s="6"/>
      <c r="B90" s="6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1.25" customHeight="1" x14ac:dyDescent="0.4">
      <c r="A91" s="6"/>
      <c r="B91" s="6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1.25" customHeight="1" x14ac:dyDescent="0.4">
      <c r="A92" s="6"/>
      <c r="B92" s="6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1.25" customHeight="1" x14ac:dyDescent="0.4">
      <c r="A93" s="6"/>
      <c r="B93" s="6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1.25" customHeight="1" x14ac:dyDescent="0.4">
      <c r="A94" s="6"/>
      <c r="B94" s="6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1.25" customHeight="1" x14ac:dyDescent="0.4">
      <c r="A95" s="6"/>
      <c r="B95" s="6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1.25" customHeight="1" x14ac:dyDescent="0.4">
      <c r="A96" s="6"/>
      <c r="B96" s="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1.25" customHeight="1" x14ac:dyDescent="0.4">
      <c r="A97" s="6"/>
      <c r="B97" s="6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1.25" customHeight="1" x14ac:dyDescent="0.4">
      <c r="A98" s="6"/>
      <c r="B98" s="6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1.25" customHeight="1" x14ac:dyDescent="0.4">
      <c r="A99" s="6"/>
      <c r="B99" s="6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1.25" customHeight="1" x14ac:dyDescent="0.4">
      <c r="A100" s="6"/>
      <c r="B100" s="6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1.25" customHeight="1" x14ac:dyDescent="0.4">
      <c r="A101" s="6"/>
      <c r="B101" s="6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1.25" customHeight="1" x14ac:dyDescent="0.4">
      <c r="A102" s="6"/>
      <c r="B102" s="6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1.25" customHeight="1" x14ac:dyDescent="0.4">
      <c r="A103" s="6"/>
      <c r="B103" s="6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1.25" customHeight="1" x14ac:dyDescent="0.4">
      <c r="A104" s="6"/>
      <c r="B104" s="6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1.25" customHeight="1" x14ac:dyDescent="0.4">
      <c r="A105" s="6"/>
      <c r="B105" s="6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1.25" customHeight="1" x14ac:dyDescent="0.4">
      <c r="A106" s="6"/>
      <c r="B106" s="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1.25" customHeight="1" x14ac:dyDescent="0.4">
      <c r="A107" s="6"/>
      <c r="B107" s="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1.25" customHeight="1" x14ac:dyDescent="0.4">
      <c r="A108" s="6"/>
      <c r="B108" s="6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1.25" customHeight="1" x14ac:dyDescent="0.4">
      <c r="A109" s="6"/>
      <c r="B109" s="6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1.25" customHeight="1" x14ac:dyDescent="0.4">
      <c r="A110" s="6"/>
      <c r="B110" s="6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1.25" customHeight="1" x14ac:dyDescent="0.4">
      <c r="A111" s="6"/>
      <c r="B111" s="6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1.25" customHeight="1" x14ac:dyDescent="0.4">
      <c r="A112" s="6"/>
      <c r="B112" s="6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1.25" customHeight="1" x14ac:dyDescent="0.4">
      <c r="A113" s="6"/>
      <c r="B113" s="6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1.25" customHeight="1" x14ac:dyDescent="0.4">
      <c r="A114" s="6"/>
      <c r="B114" s="6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1.25" customHeight="1" x14ac:dyDescent="0.4">
      <c r="A115" s="6"/>
      <c r="B115" s="6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1.25" customHeight="1" x14ac:dyDescent="0.4">
      <c r="A116" s="6"/>
      <c r="B116" s="6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1.25" customHeight="1" x14ac:dyDescent="0.4">
      <c r="A117" s="6"/>
      <c r="B117" s="6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1.25" customHeight="1" x14ac:dyDescent="0.4">
      <c r="A118" s="6"/>
      <c r="B118" s="6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1.25" customHeight="1" x14ac:dyDescent="0.4">
      <c r="A119" s="6"/>
      <c r="B119" s="6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1.25" customHeight="1" x14ac:dyDescent="0.4">
      <c r="A120" s="6"/>
      <c r="B120" s="6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1.25" customHeight="1" x14ac:dyDescent="0.4">
      <c r="A121" s="6"/>
      <c r="B121" s="6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1.25" customHeight="1" x14ac:dyDescent="0.4">
      <c r="A122" s="6"/>
      <c r="B122" s="6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1.25" customHeight="1" x14ac:dyDescent="0.4">
      <c r="A123" s="6"/>
      <c r="B123" s="6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1.25" customHeight="1" x14ac:dyDescent="0.4">
      <c r="A124" s="6"/>
      <c r="B124" s="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1.25" customHeight="1" x14ac:dyDescent="0.4">
      <c r="A125" s="6"/>
      <c r="B125" s="6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1.25" customHeight="1" x14ac:dyDescent="0.4">
      <c r="A126" s="6"/>
      <c r="B126" s="6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1.25" customHeight="1" x14ac:dyDescent="0.4">
      <c r="A127" s="6"/>
      <c r="B127" s="6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1.25" customHeight="1" x14ac:dyDescent="0.4">
      <c r="A128" s="6"/>
      <c r="B128" s="6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1.25" customHeight="1" x14ac:dyDescent="0.4">
      <c r="A129" s="6"/>
      <c r="B129" s="6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1.25" customHeight="1" x14ac:dyDescent="0.4">
      <c r="A130" s="6"/>
      <c r="B130" s="6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1.25" customHeight="1" x14ac:dyDescent="0.4">
      <c r="A131" s="6"/>
      <c r="B131" s="6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1.25" customHeight="1" x14ac:dyDescent="0.4">
      <c r="A132" s="6"/>
      <c r="B132" s="6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1.25" customHeight="1" x14ac:dyDescent="0.4">
      <c r="A133" s="6"/>
      <c r="B133" s="6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1.25" customHeight="1" x14ac:dyDescent="0.4">
      <c r="A134" s="6"/>
      <c r="B134" s="6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1.25" customHeight="1" x14ac:dyDescent="0.4">
      <c r="A135" s="6"/>
      <c r="B135" s="6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1.25" customHeight="1" x14ac:dyDescent="0.4">
      <c r="A136" s="6"/>
      <c r="B136" s="6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1.25" customHeight="1" x14ac:dyDescent="0.4">
      <c r="A137" s="6"/>
      <c r="B137" s="6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1.25" customHeight="1" x14ac:dyDescent="0.4">
      <c r="A138" s="6"/>
      <c r="B138" s="6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1.25" customHeight="1" x14ac:dyDescent="0.4">
      <c r="A139" s="6"/>
      <c r="B139" s="6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1.25" customHeight="1" x14ac:dyDescent="0.4">
      <c r="A140" s="6"/>
      <c r="B140" s="6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1.25" customHeight="1" x14ac:dyDescent="0.4">
      <c r="A141" s="6"/>
      <c r="B141" s="6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1.25" customHeight="1" x14ac:dyDescent="0.4">
      <c r="A142" s="6"/>
      <c r="B142" s="6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1.25" customHeight="1" x14ac:dyDescent="0.4">
      <c r="A143" s="6"/>
      <c r="B143" s="6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1.25" customHeight="1" x14ac:dyDescent="0.4">
      <c r="A144" s="6"/>
      <c r="B144" s="6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1.25" customHeight="1" x14ac:dyDescent="0.4">
      <c r="A145" s="6"/>
      <c r="B145" s="6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1.25" customHeight="1" x14ac:dyDescent="0.4">
      <c r="A146" s="6"/>
      <c r="B146" s="6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1.25" customHeight="1" x14ac:dyDescent="0.4">
      <c r="A147" s="6"/>
      <c r="B147" s="6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1.25" customHeight="1" x14ac:dyDescent="0.4">
      <c r="A148" s="6"/>
      <c r="B148" s="6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1.25" customHeight="1" x14ac:dyDescent="0.4">
      <c r="A149" s="6"/>
      <c r="B149" s="6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1.25" customHeight="1" x14ac:dyDescent="0.4">
      <c r="A150" s="6"/>
      <c r="B150" s="6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1.25" customHeight="1" x14ac:dyDescent="0.4">
      <c r="A151" s="6"/>
      <c r="B151" s="6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1.25" customHeight="1" x14ac:dyDescent="0.4">
      <c r="A152" s="6"/>
      <c r="B152" s="6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1.25" customHeight="1" x14ac:dyDescent="0.4">
      <c r="A153" s="6"/>
      <c r="B153" s="6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1.25" customHeight="1" x14ac:dyDescent="0.4">
      <c r="A154" s="6"/>
      <c r="B154" s="6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1.25" customHeight="1" x14ac:dyDescent="0.4">
      <c r="A155" s="6"/>
      <c r="B155" s="6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1.25" customHeight="1" x14ac:dyDescent="0.4">
      <c r="A156" s="6"/>
      <c r="B156" s="6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1.25" customHeight="1" x14ac:dyDescent="0.4">
      <c r="A157" s="6"/>
      <c r="B157" s="6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1.25" customHeight="1" x14ac:dyDescent="0.4">
      <c r="A158" s="6"/>
      <c r="B158" s="6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1.25" customHeight="1" x14ac:dyDescent="0.4">
      <c r="A159" s="6"/>
      <c r="B159" s="6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1.25" customHeight="1" x14ac:dyDescent="0.4">
      <c r="A160" s="6"/>
      <c r="B160" s="6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1.25" customHeight="1" x14ac:dyDescent="0.4">
      <c r="A161" s="6"/>
      <c r="B161" s="6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1.25" customHeight="1" x14ac:dyDescent="0.4">
      <c r="A162" s="6"/>
      <c r="B162" s="6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1.25" customHeight="1" x14ac:dyDescent="0.4">
      <c r="A163" s="6"/>
      <c r="B163" s="6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1.25" customHeight="1" x14ac:dyDescent="0.4">
      <c r="A164" s="6"/>
      <c r="B164" s="6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1.25" customHeight="1" x14ac:dyDescent="0.4">
      <c r="A165" s="6"/>
      <c r="B165" s="6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1.25" customHeight="1" x14ac:dyDescent="0.4">
      <c r="A166" s="6"/>
      <c r="B166" s="6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1.25" customHeight="1" x14ac:dyDescent="0.4">
      <c r="A167" s="6"/>
      <c r="B167" s="6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1.25" customHeight="1" x14ac:dyDescent="0.4">
      <c r="A168" s="6"/>
      <c r="B168" s="6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1.25" customHeight="1" x14ac:dyDescent="0.4">
      <c r="A169" s="6"/>
      <c r="B169" s="6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1.25" customHeight="1" x14ac:dyDescent="0.4">
      <c r="A170" s="6"/>
      <c r="B170" s="6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1.25" customHeight="1" x14ac:dyDescent="0.4">
      <c r="A171" s="6"/>
      <c r="B171" s="6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1.25" customHeight="1" x14ac:dyDescent="0.4">
      <c r="A172" s="6"/>
      <c r="B172" s="6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1.25" customHeight="1" x14ac:dyDescent="0.4">
      <c r="A173" s="6"/>
      <c r="B173" s="6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1.25" customHeight="1" x14ac:dyDescent="0.4">
      <c r="A174" s="6"/>
      <c r="B174" s="6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1.25" customHeight="1" x14ac:dyDescent="0.4">
      <c r="A175" s="6"/>
      <c r="B175" s="6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1.25" customHeight="1" x14ac:dyDescent="0.4">
      <c r="A176" s="6"/>
      <c r="B176" s="6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1.25" customHeight="1" x14ac:dyDescent="0.4">
      <c r="A177" s="6"/>
      <c r="B177" s="6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1.25" customHeight="1" x14ac:dyDescent="0.4">
      <c r="A178" s="6"/>
      <c r="B178" s="6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1.25" customHeight="1" x14ac:dyDescent="0.4">
      <c r="A179" s="6"/>
      <c r="B179" s="6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1.25" customHeight="1" x14ac:dyDescent="0.4">
      <c r="A180" s="6"/>
      <c r="B180" s="6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1.25" customHeight="1" x14ac:dyDescent="0.4">
      <c r="A181" s="6"/>
      <c r="B181" s="6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1.25" customHeight="1" x14ac:dyDescent="0.4">
      <c r="A182" s="6"/>
      <c r="B182" s="6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1.25" customHeight="1" x14ac:dyDescent="0.4">
      <c r="A183" s="6"/>
      <c r="B183" s="6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1.25" customHeight="1" x14ac:dyDescent="0.4">
      <c r="A184" s="6"/>
      <c r="B184" s="6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1.25" customHeight="1" x14ac:dyDescent="0.4">
      <c r="A185" s="6"/>
      <c r="B185" s="6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1.25" customHeight="1" x14ac:dyDescent="0.4">
      <c r="A186" s="6"/>
      <c r="B186" s="6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1.25" customHeight="1" x14ac:dyDescent="0.4">
      <c r="A187" s="6"/>
      <c r="B187" s="6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1.25" customHeight="1" x14ac:dyDescent="0.4">
      <c r="A188" s="6"/>
      <c r="B188" s="6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1.25" customHeight="1" x14ac:dyDescent="0.4">
      <c r="A189" s="6"/>
      <c r="B189" s="6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1.25" customHeight="1" x14ac:dyDescent="0.4">
      <c r="A190" s="6"/>
      <c r="B190" s="6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1.25" customHeight="1" x14ac:dyDescent="0.4">
      <c r="A191" s="6"/>
      <c r="B191" s="6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1.25" customHeight="1" x14ac:dyDescent="0.4">
      <c r="A192" s="6"/>
      <c r="B192" s="6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1.25" customHeight="1" x14ac:dyDescent="0.4">
      <c r="A193" s="6"/>
      <c r="B193" s="6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1.25" customHeight="1" x14ac:dyDescent="0.4">
      <c r="A194" s="6"/>
      <c r="B194" s="6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1.25" customHeight="1" x14ac:dyDescent="0.4">
      <c r="A195" s="6"/>
      <c r="B195" s="6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1.25" customHeight="1" x14ac:dyDescent="0.4">
      <c r="A196" s="6"/>
      <c r="B196" s="6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1.25" customHeight="1" x14ac:dyDescent="0.4">
      <c r="A197" s="6"/>
      <c r="B197" s="6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1.25" customHeight="1" x14ac:dyDescent="0.4">
      <c r="A198" s="6"/>
      <c r="B198" s="6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1.25" customHeight="1" x14ac:dyDescent="0.4">
      <c r="A199" s="6"/>
      <c r="B199" s="6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1.25" customHeight="1" x14ac:dyDescent="0.4">
      <c r="A200" s="6"/>
      <c r="B200" s="6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1.25" customHeight="1" x14ac:dyDescent="0.4">
      <c r="A201" s="6"/>
      <c r="B201" s="6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1.25" customHeight="1" x14ac:dyDescent="0.4">
      <c r="A202" s="6"/>
      <c r="B202" s="6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1.25" customHeight="1" x14ac:dyDescent="0.4">
      <c r="A203" s="6"/>
      <c r="B203" s="6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1.25" customHeight="1" x14ac:dyDescent="0.4">
      <c r="A204" s="6"/>
      <c r="B204" s="6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1.25" customHeight="1" x14ac:dyDescent="0.4">
      <c r="A205" s="6"/>
      <c r="B205" s="6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1.25" customHeight="1" x14ac:dyDescent="0.4">
      <c r="A206" s="6"/>
      <c r="B206" s="6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1.25" customHeight="1" x14ac:dyDescent="0.4">
      <c r="A207" s="6"/>
      <c r="B207" s="6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1.25" customHeight="1" x14ac:dyDescent="0.4">
      <c r="A208" s="6"/>
      <c r="B208" s="6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1.25" customHeight="1" x14ac:dyDescent="0.4">
      <c r="A209" s="6"/>
      <c r="B209" s="6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1.25" customHeight="1" x14ac:dyDescent="0.4">
      <c r="A210" s="6"/>
      <c r="B210" s="6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1.25" customHeight="1" x14ac:dyDescent="0.4">
      <c r="A211" s="6"/>
      <c r="B211" s="6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1.25" customHeight="1" x14ac:dyDescent="0.4">
      <c r="A212" s="6"/>
      <c r="B212" s="6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1.25" customHeight="1" x14ac:dyDescent="0.4">
      <c r="A213" s="6"/>
      <c r="B213" s="6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1.25" customHeight="1" x14ac:dyDescent="0.4">
      <c r="A214" s="6"/>
      <c r="B214" s="6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1.25" customHeight="1" x14ac:dyDescent="0.4">
      <c r="A215" s="6"/>
      <c r="B215" s="6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1.25" customHeight="1" x14ac:dyDescent="0.4">
      <c r="A216" s="6"/>
      <c r="B216" s="6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1.25" customHeight="1" x14ac:dyDescent="0.4">
      <c r="A217" s="6"/>
      <c r="B217" s="6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1.25" customHeight="1" x14ac:dyDescent="0.4">
      <c r="A218" s="6"/>
      <c r="B218" s="6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1.25" customHeight="1" x14ac:dyDescent="0.4">
      <c r="A219" s="6"/>
      <c r="B219" s="6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1.25" customHeight="1" x14ac:dyDescent="0.4">
      <c r="A220" s="6"/>
      <c r="B220" s="6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1.25" customHeight="1" x14ac:dyDescent="0.4">
      <c r="A221" s="6"/>
      <c r="B221" s="6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1.25" customHeight="1" x14ac:dyDescent="0.4">
      <c r="A222" s="6"/>
      <c r="B222" s="6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1.25" customHeight="1" x14ac:dyDescent="0.4">
      <c r="A223" s="6"/>
      <c r="B223" s="6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1.25" customHeight="1" x14ac:dyDescent="0.4">
      <c r="A224" s="6"/>
      <c r="B224" s="6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1.25" customHeight="1" x14ac:dyDescent="0.4">
      <c r="A225" s="6"/>
      <c r="B225" s="6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1.25" customHeight="1" x14ac:dyDescent="0.4">
      <c r="A226" s="6"/>
      <c r="B226" s="6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1.25" customHeight="1" x14ac:dyDescent="0.4">
      <c r="A227" s="6"/>
      <c r="B227" s="6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1.25" customHeight="1" x14ac:dyDescent="0.4">
      <c r="A228" s="6"/>
      <c r="B228" s="6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1.25" customHeight="1" x14ac:dyDescent="0.4">
      <c r="A229" s="6"/>
      <c r="B229" s="6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1.25" customHeight="1" x14ac:dyDescent="0.4">
      <c r="A230" s="6"/>
      <c r="B230" s="6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1.25" customHeight="1" x14ac:dyDescent="0.4">
      <c r="A231" s="6"/>
      <c r="B231" s="6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1.25" customHeight="1" x14ac:dyDescent="0.4">
      <c r="A232" s="6"/>
      <c r="B232" s="6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1.25" customHeight="1" x14ac:dyDescent="0.4">
      <c r="A233" s="6"/>
      <c r="B233" s="6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1.25" customHeight="1" x14ac:dyDescent="0.4">
      <c r="A234" s="6"/>
      <c r="B234" s="6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1.25" customHeight="1" x14ac:dyDescent="0.4">
      <c r="A235" s="6"/>
      <c r="B235" s="6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4"/>
    <row r="237" spans="1:27" ht="15.75" customHeight="1" x14ac:dyDescent="0.4"/>
    <row r="238" spans="1:27" ht="15.75" customHeight="1" x14ac:dyDescent="0.4"/>
    <row r="239" spans="1:27" ht="15.75" customHeight="1" x14ac:dyDescent="0.4"/>
    <row r="240" spans="1:27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2">
    <mergeCell ref="B1:K1"/>
    <mergeCell ref="B2:K2"/>
  </mergeCells>
  <pageMargins left="0.7" right="0.7" top="0.75" bottom="0.75" header="0" footer="0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showGridLines="0" zoomScaleNormal="100" workbookViewId="0">
      <selection sqref="A1:P1"/>
    </sheetView>
  </sheetViews>
  <sheetFormatPr defaultColWidth="14.453125" defaultRowHeight="15" customHeight="1" x14ac:dyDescent="0.4"/>
  <cols>
    <col min="1" max="1" width="11.453125" customWidth="1"/>
    <col min="2" max="2" width="10.1796875" customWidth="1"/>
    <col min="3" max="3" width="7" customWidth="1"/>
    <col min="4" max="4" width="5.81640625" customWidth="1"/>
    <col min="5" max="5" width="5" customWidth="1"/>
    <col min="6" max="8" width="4.81640625" customWidth="1"/>
    <col min="9" max="9" width="5" customWidth="1"/>
    <col min="10" max="11" width="5.453125" customWidth="1"/>
    <col min="12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32" t="s">
        <v>278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</row>
    <row r="2" spans="1:17" ht="14.25" customHeight="1" x14ac:dyDescent="0.4">
      <c r="A2" s="532" t="s">
        <v>279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</row>
    <row r="3" spans="1:17" ht="11.25" customHeight="1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</row>
    <row r="4" spans="1:17" ht="11.25" customHeight="1" x14ac:dyDescent="0.4">
      <c r="A4" s="42"/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</row>
    <row r="5" spans="1:17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</row>
    <row r="6" spans="1:17" ht="11.25" customHeight="1" x14ac:dyDescent="0.4">
      <c r="A6" s="50"/>
      <c r="B6" s="50"/>
      <c r="C6" s="50"/>
      <c r="D6" s="47" t="s">
        <v>298</v>
      </c>
      <c r="E6" s="48" t="s">
        <v>298</v>
      </c>
      <c r="F6" s="48" t="s">
        <v>298</v>
      </c>
      <c r="G6" s="48" t="s">
        <v>298</v>
      </c>
      <c r="H6" s="48" t="s">
        <v>299</v>
      </c>
      <c r="I6" s="48" t="s">
        <v>299</v>
      </c>
      <c r="J6" s="48" t="s">
        <v>299</v>
      </c>
      <c r="K6" s="48" t="s">
        <v>299</v>
      </c>
      <c r="L6" s="48" t="s">
        <v>299</v>
      </c>
      <c r="M6" s="49" t="s">
        <v>299</v>
      </c>
      <c r="N6" s="51" t="s">
        <v>284</v>
      </c>
      <c r="O6" s="52" t="s">
        <v>284</v>
      </c>
      <c r="P6" s="53" t="s">
        <v>296</v>
      </c>
      <c r="Q6" s="6"/>
    </row>
    <row r="7" spans="1:17" ht="11.25" customHeight="1" x14ac:dyDescent="0.4">
      <c r="A7" s="17" t="s">
        <v>26</v>
      </c>
      <c r="B7" s="17" t="s">
        <v>300</v>
      </c>
      <c r="C7" s="54">
        <f>SUM('By Location'!C7+'By Location'!C21)</f>
        <v>2593</v>
      </c>
      <c r="D7" s="55">
        <f>SUM('By Location'!D7+'By Location'!D21)</f>
        <v>1286</v>
      </c>
      <c r="E7" s="56">
        <f>SUM('By Location'!E7+'By Location'!E21)</f>
        <v>568</v>
      </c>
      <c r="F7" s="56">
        <f>SUM('By Location'!F7+'By Location'!F21)</f>
        <v>347</v>
      </c>
      <c r="G7" s="56">
        <f>SUM('By Location'!G7+'By Location'!G21)</f>
        <v>292</v>
      </c>
      <c r="H7" s="56">
        <f>SUM('By Location'!H7+'By Location'!H21)</f>
        <v>250</v>
      </c>
      <c r="I7" s="56">
        <f>SUM('By Location'!I7+'By Location'!I21)</f>
        <v>256</v>
      </c>
      <c r="J7" s="56">
        <f>SUM('By Location'!J7+'By Location'!J21)</f>
        <v>296</v>
      </c>
      <c r="K7" s="56">
        <f>SUM('By Location'!K7+'By Location'!K21)</f>
        <v>452</v>
      </c>
      <c r="L7" s="56">
        <f>SUM('By Location'!L7+'By Location'!L21)</f>
        <v>819</v>
      </c>
      <c r="M7" s="57">
        <f>SUM('By Location'!M7+'By Location'!M21)</f>
        <v>1013</v>
      </c>
      <c r="N7" s="58">
        <f t="shared" ref="N7:N20" si="0">MIN(D7:M7)</f>
        <v>250</v>
      </c>
      <c r="O7" s="58">
        <f t="shared" ref="O7:O20" si="1">C7-N7</f>
        <v>2343</v>
      </c>
      <c r="P7" s="59">
        <f t="shared" ref="P7:P20" si="2">O7/C7</f>
        <v>0.90358657925183183</v>
      </c>
      <c r="Q7" s="6"/>
    </row>
    <row r="8" spans="1:17" ht="11.25" customHeight="1" x14ac:dyDescent="0.4">
      <c r="A8" s="17" t="s">
        <v>11</v>
      </c>
      <c r="B8" s="17" t="s">
        <v>301</v>
      </c>
      <c r="C8" s="54">
        <f>SUM('By Location'!C8+'By Location'!C22)</f>
        <v>6471</v>
      </c>
      <c r="D8" s="54">
        <f>SUM('By Location'!D8+'By Location'!D22)</f>
        <v>2390</v>
      </c>
      <c r="E8" s="58">
        <f>SUM('By Location'!E8+'By Location'!E22)</f>
        <v>1776</v>
      </c>
      <c r="F8" s="58">
        <f>SUM('By Location'!F8+'By Location'!F22)</f>
        <v>1239</v>
      </c>
      <c r="G8" s="58">
        <f>SUM('By Location'!G8+'By Location'!G22)</f>
        <v>1102</v>
      </c>
      <c r="H8" s="58">
        <f>SUM('By Location'!H8+'By Location'!H22)</f>
        <v>1142</v>
      </c>
      <c r="I8" s="58">
        <f>SUM('By Location'!I8+'By Location'!I22)</f>
        <v>1138</v>
      </c>
      <c r="J8" s="58">
        <f>SUM('By Location'!J8+'By Location'!J22)</f>
        <v>1144</v>
      </c>
      <c r="K8" s="58">
        <f>SUM('By Location'!K8+'By Location'!K22)</f>
        <v>1833</v>
      </c>
      <c r="L8" s="58">
        <f>SUM('By Location'!L8+'By Location'!L22)</f>
        <v>2721</v>
      </c>
      <c r="M8" s="60">
        <f>SUM('By Location'!M8+'By Location'!M22)</f>
        <v>3389</v>
      </c>
      <c r="N8" s="58">
        <f t="shared" si="0"/>
        <v>1102</v>
      </c>
      <c r="O8" s="58">
        <f t="shared" si="1"/>
        <v>5369</v>
      </c>
      <c r="P8" s="59">
        <f t="shared" si="2"/>
        <v>0.82970174625251125</v>
      </c>
      <c r="Q8" s="6"/>
    </row>
    <row r="9" spans="1:17" ht="11.25" customHeight="1" x14ac:dyDescent="0.4">
      <c r="A9" s="17" t="s">
        <v>302</v>
      </c>
      <c r="B9" s="17" t="s">
        <v>303</v>
      </c>
      <c r="C9" s="27">
        <f>SUM('By Location'!C10)</f>
        <v>1570</v>
      </c>
      <c r="D9" s="58">
        <f>SUM('By Location'!D10)</f>
        <v>304</v>
      </c>
      <c r="E9" s="58">
        <f>SUM('By Location'!E10)</f>
        <v>215</v>
      </c>
      <c r="F9" s="58">
        <f>SUM('By Location'!F10)</f>
        <v>270</v>
      </c>
      <c r="G9" s="58">
        <f>SUM('By Location'!G10)</f>
        <v>161</v>
      </c>
      <c r="H9" s="58">
        <f>SUM('By Location'!H10)</f>
        <v>169</v>
      </c>
      <c r="I9" s="58">
        <f>SUM('By Location'!I10)</f>
        <v>153</v>
      </c>
      <c r="J9" s="58">
        <f>SUM('By Location'!J10)</f>
        <v>152</v>
      </c>
      <c r="K9" s="58">
        <f>SUM('By Location'!K10)</f>
        <v>171</v>
      </c>
      <c r="L9" s="58">
        <f>SUM('By Location'!L10)</f>
        <v>218</v>
      </c>
      <c r="M9" s="60">
        <f>SUM('By Location'!M10)</f>
        <v>329</v>
      </c>
      <c r="N9" s="58">
        <f t="shared" si="0"/>
        <v>152</v>
      </c>
      <c r="O9" s="58">
        <f t="shared" si="1"/>
        <v>1418</v>
      </c>
      <c r="P9" s="59">
        <f t="shared" si="2"/>
        <v>0.9031847133757962</v>
      </c>
      <c r="Q9" s="6"/>
    </row>
    <row r="10" spans="1:17" ht="11.25" customHeight="1" x14ac:dyDescent="0.4">
      <c r="A10" s="17" t="s">
        <v>304</v>
      </c>
      <c r="B10" s="32" t="s">
        <v>305</v>
      </c>
      <c r="C10" s="27">
        <f>SUM('By Location'!C11)</f>
        <v>228</v>
      </c>
      <c r="D10" s="58">
        <f>SUM('By Location'!D11)</f>
        <v>0</v>
      </c>
      <c r="E10" s="58">
        <f>SUM('By Location'!E11)</f>
        <v>0</v>
      </c>
      <c r="F10" s="58">
        <f>SUM('By Location'!F11)</f>
        <v>0</v>
      </c>
      <c r="G10" s="58">
        <f>SUM('By Location'!G11)</f>
        <v>0</v>
      </c>
      <c r="H10" s="58">
        <f>SUM('By Location'!H11)</f>
        <v>0</v>
      </c>
      <c r="I10" s="58">
        <f>SUM('By Location'!I11)</f>
        <v>0</v>
      </c>
      <c r="J10" s="58">
        <f>SUM('By Location'!J11)</f>
        <v>0</v>
      </c>
      <c r="K10" s="58">
        <f>SUM('By Location'!K11)</f>
        <v>3</v>
      </c>
      <c r="L10" s="58">
        <f>SUM('By Location'!L11)</f>
        <v>1</v>
      </c>
      <c r="M10" s="60">
        <f>SUM('By Location'!M11)</f>
        <v>0</v>
      </c>
      <c r="N10" s="58">
        <f t="shared" si="0"/>
        <v>0</v>
      </c>
      <c r="O10" s="58">
        <f t="shared" si="1"/>
        <v>228</v>
      </c>
      <c r="P10" s="59">
        <f t="shared" si="2"/>
        <v>1</v>
      </c>
      <c r="Q10" s="6"/>
    </row>
    <row r="11" spans="1:17" ht="11.25" customHeight="1" x14ac:dyDescent="0.4">
      <c r="A11" s="17"/>
      <c r="B11" s="32" t="s">
        <v>306</v>
      </c>
      <c r="C11" s="27">
        <f>SUM('By Location'!C9)</f>
        <v>1380</v>
      </c>
      <c r="D11" s="58">
        <f>SUM('By Location'!D9)</f>
        <v>1195</v>
      </c>
      <c r="E11" s="58">
        <f>SUM('By Location'!E9)</f>
        <v>949</v>
      </c>
      <c r="F11" s="58">
        <f>SUM('By Location'!F9)</f>
        <v>670</v>
      </c>
      <c r="G11" s="58">
        <f>SUM('By Location'!G9)</f>
        <v>672</v>
      </c>
      <c r="H11" s="58">
        <f>SUM('By Location'!H9)</f>
        <v>682</v>
      </c>
      <c r="I11" s="58">
        <f>SUM('By Location'!I9)</f>
        <v>650</v>
      </c>
      <c r="J11" s="58">
        <f>SUM('By Location'!J9)</f>
        <v>656</v>
      </c>
      <c r="K11" s="58">
        <f>SUM('By Location'!K9)</f>
        <v>665</v>
      </c>
      <c r="L11" s="58">
        <f>SUM('By Location'!L9)</f>
        <v>767</v>
      </c>
      <c r="M11" s="60">
        <f>SUM('By Location'!M9)</f>
        <v>828</v>
      </c>
      <c r="N11" s="58">
        <f t="shared" si="0"/>
        <v>650</v>
      </c>
      <c r="O11" s="58">
        <f t="shared" si="1"/>
        <v>730</v>
      </c>
      <c r="P11" s="59">
        <f t="shared" si="2"/>
        <v>0.52898550724637683</v>
      </c>
      <c r="Q11" s="6"/>
    </row>
    <row r="12" spans="1:17" ht="11.25" customHeight="1" x14ac:dyDescent="0.4">
      <c r="A12" s="17"/>
      <c r="B12" s="61">
        <v>3</v>
      </c>
      <c r="C12" s="27">
        <f>'By Location'!C12</f>
        <v>398</v>
      </c>
      <c r="D12" s="58">
        <f>'By Location'!D12</f>
        <v>0</v>
      </c>
      <c r="E12" s="58">
        <f>'By Location'!E12</f>
        <v>0</v>
      </c>
      <c r="F12" s="58">
        <f>'By Location'!F12</f>
        <v>0</v>
      </c>
      <c r="G12" s="58">
        <f>'By Location'!G12</f>
        <v>1</v>
      </c>
      <c r="H12" s="58">
        <f>'By Location'!H12</f>
        <v>0</v>
      </c>
      <c r="I12" s="58">
        <f>'By Location'!I12</f>
        <v>0</v>
      </c>
      <c r="J12" s="58">
        <f>'By Location'!J12</f>
        <v>0</v>
      </c>
      <c r="K12" s="58">
        <f>'By Location'!K12</f>
        <v>1</v>
      </c>
      <c r="L12" s="58">
        <f>'By Location'!L12</f>
        <v>0</v>
      </c>
      <c r="M12" s="60">
        <f>'By Location'!M12</f>
        <v>1</v>
      </c>
      <c r="N12" s="58">
        <f t="shared" si="0"/>
        <v>0</v>
      </c>
      <c r="O12" s="58">
        <f t="shared" si="1"/>
        <v>398</v>
      </c>
      <c r="P12" s="59">
        <f t="shared" si="2"/>
        <v>1</v>
      </c>
      <c r="Q12" s="6"/>
    </row>
    <row r="13" spans="1:17" ht="11.25" customHeight="1" x14ac:dyDescent="0.4">
      <c r="A13" s="17"/>
      <c r="B13" s="32" t="s">
        <v>307</v>
      </c>
      <c r="C13" s="27">
        <f>SUM('By Location'!C13+'By Location'!C24)</f>
        <v>2099</v>
      </c>
      <c r="D13" s="58">
        <f>SUM('By Location'!D13+'By Location'!D24)</f>
        <v>958</v>
      </c>
      <c r="E13" s="58">
        <f>SUM('By Location'!E13+'By Location'!E24)</f>
        <v>539</v>
      </c>
      <c r="F13" s="58">
        <f>SUM('By Location'!F13+'By Location'!F24)</f>
        <v>408</v>
      </c>
      <c r="G13" s="58">
        <f>SUM('By Location'!G13+'By Location'!G24)</f>
        <v>336</v>
      </c>
      <c r="H13" s="58">
        <f>SUM('By Location'!H13+'By Location'!H24)</f>
        <v>350</v>
      </c>
      <c r="I13" s="58">
        <f>SUM('By Location'!I13+'By Location'!I24)</f>
        <v>342</v>
      </c>
      <c r="J13" s="58">
        <f>SUM('By Location'!J13+'By Location'!J24)</f>
        <v>326</v>
      </c>
      <c r="K13" s="58">
        <f>SUM('By Location'!K13+'By Location'!K24)</f>
        <v>386</v>
      </c>
      <c r="L13" s="58">
        <f>SUM('By Location'!L13+'By Location'!L24)</f>
        <v>594</v>
      </c>
      <c r="M13" s="60">
        <f>SUM('By Location'!M13+'By Location'!M24)</f>
        <v>797</v>
      </c>
      <c r="N13" s="58">
        <f t="shared" si="0"/>
        <v>326</v>
      </c>
      <c r="O13" s="58">
        <f t="shared" si="1"/>
        <v>1773</v>
      </c>
      <c r="P13" s="59">
        <f t="shared" si="2"/>
        <v>0.84468794664125779</v>
      </c>
      <c r="Q13" s="6"/>
    </row>
    <row r="14" spans="1:17" ht="11.25" customHeight="1" x14ac:dyDescent="0.4">
      <c r="A14" s="17"/>
      <c r="B14" s="32" t="s">
        <v>308</v>
      </c>
      <c r="C14" s="27">
        <f>SUM('By Location'!C14+'By Location'!C25)</f>
        <v>619</v>
      </c>
      <c r="D14" s="58">
        <f>SUM('By Location'!D14+'By Location'!D25)</f>
        <v>441</v>
      </c>
      <c r="E14" s="58">
        <f>SUM('By Location'!E14+'By Location'!E25)</f>
        <v>389</v>
      </c>
      <c r="F14" s="58">
        <f>SUM('By Location'!F14+'By Location'!F25)</f>
        <v>364</v>
      </c>
      <c r="G14" s="58">
        <f>SUM('By Location'!G14+'By Location'!G25)</f>
        <v>325</v>
      </c>
      <c r="H14" s="58">
        <f>SUM('By Location'!H14+'By Location'!H25)</f>
        <v>313</v>
      </c>
      <c r="I14" s="58">
        <f>SUM('By Location'!I14+'By Location'!I25)</f>
        <v>319</v>
      </c>
      <c r="J14" s="58">
        <f>SUM('By Location'!J14+'By Location'!J25)</f>
        <v>325</v>
      </c>
      <c r="K14" s="58">
        <f>SUM('By Location'!K14+'By Location'!K25)</f>
        <v>358</v>
      </c>
      <c r="L14" s="58">
        <f>SUM('By Location'!L14+'By Location'!L25)</f>
        <v>394</v>
      </c>
      <c r="M14" s="60">
        <f>SUM('By Location'!M14+'By Location'!M25)</f>
        <v>420</v>
      </c>
      <c r="N14" s="58">
        <f t="shared" si="0"/>
        <v>313</v>
      </c>
      <c r="O14" s="58">
        <f t="shared" si="1"/>
        <v>306</v>
      </c>
      <c r="P14" s="59">
        <f t="shared" si="2"/>
        <v>0.49434571890145396</v>
      </c>
      <c r="Q14" s="6"/>
    </row>
    <row r="15" spans="1:17" ht="11.25" customHeight="1" x14ac:dyDescent="0.4">
      <c r="A15" s="17"/>
      <c r="B15" s="32" t="s">
        <v>309</v>
      </c>
      <c r="C15" s="27">
        <f>SUM('By Location'!C15+'By Location'!C26)</f>
        <v>1888</v>
      </c>
      <c r="D15" s="58">
        <f>SUM('By Location'!D15+'By Location'!D26)</f>
        <v>1246</v>
      </c>
      <c r="E15" s="58">
        <f>SUM('By Location'!E15+'By Location'!E26)</f>
        <v>1003</v>
      </c>
      <c r="F15" s="58">
        <f>SUM('By Location'!F15+'By Location'!F26)</f>
        <v>648</v>
      </c>
      <c r="G15" s="58">
        <f>SUM('By Location'!G15+'By Location'!G26)</f>
        <v>520</v>
      </c>
      <c r="H15" s="58">
        <f>SUM('By Location'!H15+'By Location'!H26)</f>
        <v>510</v>
      </c>
      <c r="I15" s="58">
        <f>SUM('By Location'!I15+'By Location'!I26)</f>
        <v>476</v>
      </c>
      <c r="J15" s="58">
        <f>SUM('By Location'!J15+'By Location'!J26)</f>
        <v>503</v>
      </c>
      <c r="K15" s="58">
        <f>SUM('By Location'!K15+'By Location'!K26)</f>
        <v>611</v>
      </c>
      <c r="L15" s="58">
        <f>SUM('By Location'!L15+'By Location'!L26)</f>
        <v>804</v>
      </c>
      <c r="M15" s="60">
        <f>SUM('By Location'!M15+'By Location'!M26)</f>
        <v>995</v>
      </c>
      <c r="N15" s="58">
        <f t="shared" si="0"/>
        <v>476</v>
      </c>
      <c r="O15" s="58">
        <f t="shared" si="1"/>
        <v>1412</v>
      </c>
      <c r="P15" s="59">
        <f t="shared" si="2"/>
        <v>0.7478813559322034</v>
      </c>
      <c r="Q15" s="6"/>
    </row>
    <row r="16" spans="1:17" ht="11.25" customHeight="1" x14ac:dyDescent="0.4">
      <c r="A16" s="17"/>
      <c r="B16" s="17" t="s">
        <v>310</v>
      </c>
      <c r="C16" s="54">
        <f>SUM('By Location'!C16+'By Location'!C27)</f>
        <v>759</v>
      </c>
      <c r="D16" s="54">
        <f>SUM('By Location'!D16+'By Location'!D27)</f>
        <v>395</v>
      </c>
      <c r="E16" s="58">
        <f>SUM('By Location'!E16+'By Location'!E27)</f>
        <v>312</v>
      </c>
      <c r="F16" s="58">
        <f>SUM('By Location'!F16+'By Location'!F27)</f>
        <v>250</v>
      </c>
      <c r="G16" s="58">
        <f>SUM('By Location'!G16+'By Location'!G27)</f>
        <v>238</v>
      </c>
      <c r="H16" s="58">
        <f>SUM('By Location'!H16+'By Location'!H27)</f>
        <v>274</v>
      </c>
      <c r="I16" s="58">
        <f>SUM('By Location'!I16+'By Location'!I27)</f>
        <v>229</v>
      </c>
      <c r="J16" s="58">
        <f>SUM('By Location'!J16+'By Location'!J27)</f>
        <v>258</v>
      </c>
      <c r="K16" s="58">
        <f>SUM('By Location'!K16+'By Location'!K27)</f>
        <v>328</v>
      </c>
      <c r="L16" s="58">
        <f>SUM('By Location'!L16+'By Location'!L27)</f>
        <v>412</v>
      </c>
      <c r="M16" s="60">
        <f>SUM('By Location'!M16+'By Location'!M27)</f>
        <v>465</v>
      </c>
      <c r="N16" s="58">
        <f t="shared" si="0"/>
        <v>229</v>
      </c>
      <c r="O16" s="58">
        <f t="shared" si="1"/>
        <v>530</v>
      </c>
      <c r="P16" s="59">
        <f t="shared" si="2"/>
        <v>0.69828722002635046</v>
      </c>
      <c r="Q16" s="6"/>
    </row>
    <row r="17" spans="1:17" ht="11.25" customHeight="1" x14ac:dyDescent="0.4">
      <c r="A17" s="17"/>
      <c r="B17" s="17" t="s">
        <v>311</v>
      </c>
      <c r="C17" s="54">
        <f>SUM('By Location'!C17+'By Location'!C28)</f>
        <v>253</v>
      </c>
      <c r="D17" s="54">
        <f>SUM('By Location'!D17+'By Location'!D28)</f>
        <v>53</v>
      </c>
      <c r="E17" s="58">
        <f>SUM('By Location'!E17+'By Location'!E28)</f>
        <v>61</v>
      </c>
      <c r="F17" s="58">
        <f>SUM('By Location'!F17+'By Location'!F28)</f>
        <v>52</v>
      </c>
      <c r="G17" s="58">
        <f>SUM('By Location'!G17+'By Location'!G28)</f>
        <v>56</v>
      </c>
      <c r="H17" s="58">
        <f>SUM('By Location'!H17+'By Location'!H28)</f>
        <v>55</v>
      </c>
      <c r="I17" s="58">
        <f>SUM('By Location'!I17+'By Location'!I28)</f>
        <v>65</v>
      </c>
      <c r="J17" s="58">
        <f>SUM('By Location'!J17+'By Location'!J28)</f>
        <v>58</v>
      </c>
      <c r="K17" s="58">
        <f>SUM('By Location'!K17+'By Location'!K28)</f>
        <v>57</v>
      </c>
      <c r="L17" s="58">
        <f>SUM('By Location'!L17+'By Location'!L28)</f>
        <v>60</v>
      </c>
      <c r="M17" s="60">
        <f>SUM('By Location'!M17+'By Location'!M28)</f>
        <v>61</v>
      </c>
      <c r="N17" s="58">
        <f t="shared" si="0"/>
        <v>52</v>
      </c>
      <c r="O17" s="58">
        <f t="shared" si="1"/>
        <v>201</v>
      </c>
      <c r="P17" s="59">
        <f t="shared" si="2"/>
        <v>0.7944664031620553</v>
      </c>
      <c r="Q17" s="6"/>
    </row>
    <row r="18" spans="1:17" ht="11.25" customHeight="1" x14ac:dyDescent="0.4">
      <c r="A18" s="17"/>
      <c r="B18" s="17" t="s">
        <v>312</v>
      </c>
      <c r="C18" s="54">
        <f>SUM('By Location'!C18+'By Location'!C29)</f>
        <v>95</v>
      </c>
      <c r="D18" s="54">
        <f>SUM('By Location'!D18+'By Location'!D29)</f>
        <v>43</v>
      </c>
      <c r="E18" s="58">
        <f>SUM('By Location'!E18+'By Location'!E29)</f>
        <v>34</v>
      </c>
      <c r="F18" s="58">
        <f>SUM('By Location'!F18+'By Location'!F29)</f>
        <v>23</v>
      </c>
      <c r="G18" s="58">
        <f>SUM('By Location'!G18+'By Location'!G29)</f>
        <v>26</v>
      </c>
      <c r="H18" s="58">
        <f>SUM('By Location'!H18+'By Location'!H29)</f>
        <v>26</v>
      </c>
      <c r="I18" s="58">
        <f>SUM('By Location'!I18+'By Location'!I29)</f>
        <v>25</v>
      </c>
      <c r="J18" s="58">
        <f>SUM('By Location'!J18+'By Location'!J29)</f>
        <v>27</v>
      </c>
      <c r="K18" s="58">
        <f>SUM('By Location'!K18+'By Location'!K29)</f>
        <v>25</v>
      </c>
      <c r="L18" s="58">
        <f>SUM('By Location'!L18+'By Location'!L29)</f>
        <v>32</v>
      </c>
      <c r="M18" s="60">
        <f>SUM('By Location'!M18+'By Location'!M29)</f>
        <v>37</v>
      </c>
      <c r="N18" s="58">
        <f t="shared" si="0"/>
        <v>23</v>
      </c>
      <c r="O18" s="58">
        <f t="shared" si="1"/>
        <v>72</v>
      </c>
      <c r="P18" s="59">
        <f t="shared" si="2"/>
        <v>0.75789473684210529</v>
      </c>
      <c r="Q18" s="6"/>
    </row>
    <row r="19" spans="1:17" ht="11.25" customHeight="1" x14ac:dyDescent="0.4">
      <c r="A19" s="17"/>
      <c r="B19" s="17" t="s">
        <v>313</v>
      </c>
      <c r="C19" s="54">
        <f>SUM('By Location'!C19+'By Location'!C30)</f>
        <v>125</v>
      </c>
      <c r="D19" s="62">
        <f>SUM('By Location'!D19+'By Location'!D30)</f>
        <v>77</v>
      </c>
      <c r="E19" s="63">
        <f>SUM('By Location'!E19+'By Location'!E30)</f>
        <v>72</v>
      </c>
      <c r="F19" s="63">
        <f>SUM('By Location'!F19+'By Location'!F30)</f>
        <v>63</v>
      </c>
      <c r="G19" s="63">
        <f>SUM('By Location'!G19+'By Location'!G30)</f>
        <v>58</v>
      </c>
      <c r="H19" s="63">
        <f>SUM('By Location'!H19+'By Location'!H30)</f>
        <v>54</v>
      </c>
      <c r="I19" s="63">
        <f>SUM('By Location'!I19+'By Location'!I30)</f>
        <v>47</v>
      </c>
      <c r="J19" s="63">
        <f>SUM('By Location'!J19+'By Location'!J30)</f>
        <v>52</v>
      </c>
      <c r="K19" s="63">
        <f>SUM('By Location'!K19+'By Location'!K30)</f>
        <v>54</v>
      </c>
      <c r="L19" s="63">
        <f>SUM('By Location'!L19+'By Location'!L30)</f>
        <v>65</v>
      </c>
      <c r="M19" s="64">
        <f>SUM('By Location'!M19+'By Location'!M30)</f>
        <v>72</v>
      </c>
      <c r="N19" s="58">
        <f t="shared" si="0"/>
        <v>47</v>
      </c>
      <c r="O19" s="58">
        <f t="shared" si="1"/>
        <v>78</v>
      </c>
      <c r="P19" s="59">
        <f t="shared" si="2"/>
        <v>0.624</v>
      </c>
      <c r="Q19" s="6"/>
    </row>
    <row r="20" spans="1:17" ht="11.25" customHeight="1" x14ac:dyDescent="0.4">
      <c r="A20" s="34"/>
      <c r="B20" s="65" t="s">
        <v>314</v>
      </c>
      <c r="C20" s="66">
        <f t="shared" ref="C20:M20" si="3">SUM(C7:C19)</f>
        <v>18478</v>
      </c>
      <c r="D20" s="67">
        <f t="shared" si="3"/>
        <v>8388</v>
      </c>
      <c r="E20" s="68">
        <f t="shared" si="3"/>
        <v>5918</v>
      </c>
      <c r="F20" s="68">
        <f t="shared" si="3"/>
        <v>4334</v>
      </c>
      <c r="G20" s="68">
        <f t="shared" si="3"/>
        <v>3787</v>
      </c>
      <c r="H20" s="68">
        <f t="shared" si="3"/>
        <v>3825</v>
      </c>
      <c r="I20" s="68">
        <f t="shared" si="3"/>
        <v>3700</v>
      </c>
      <c r="J20" s="68">
        <f t="shared" si="3"/>
        <v>3797</v>
      </c>
      <c r="K20" s="68">
        <f t="shared" si="3"/>
        <v>4944</v>
      </c>
      <c r="L20" s="68">
        <f t="shared" si="3"/>
        <v>6887</v>
      </c>
      <c r="M20" s="69">
        <f t="shared" si="3"/>
        <v>8407</v>
      </c>
      <c r="N20" s="70">
        <f t="shared" si="0"/>
        <v>3700</v>
      </c>
      <c r="O20" s="71">
        <f t="shared" si="1"/>
        <v>14778</v>
      </c>
      <c r="P20" s="72">
        <f t="shared" si="2"/>
        <v>0.79976187899123286</v>
      </c>
      <c r="Q20" s="6"/>
    </row>
    <row r="21" spans="1:17" ht="11.25" customHeigh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.75" customHeight="1" x14ac:dyDescent="0.4"/>
    <row r="23" spans="1:17" ht="15.75" customHeight="1" x14ac:dyDescent="0.4"/>
    <row r="24" spans="1:17" ht="15.75" customHeight="1" x14ac:dyDescent="0.4"/>
    <row r="25" spans="1:17" ht="15.75" customHeight="1" x14ac:dyDescent="0.4"/>
    <row r="26" spans="1:17" ht="15.75" customHeight="1" x14ac:dyDescent="0.4"/>
    <row r="27" spans="1:17" ht="15.75" customHeight="1" x14ac:dyDescent="0.4"/>
    <row r="28" spans="1:17" ht="15.75" customHeight="1" x14ac:dyDescent="0.4"/>
    <row r="29" spans="1:17" ht="15.75" customHeight="1" x14ac:dyDescent="0.4"/>
    <row r="30" spans="1:17" ht="15.75" customHeight="1" x14ac:dyDescent="0.4"/>
    <row r="31" spans="1:17" ht="15.75" customHeight="1" x14ac:dyDescent="0.4"/>
    <row r="32" spans="1:17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Normal="100" workbookViewId="0">
      <selection activeCell="A4" sqref="A4"/>
    </sheetView>
  </sheetViews>
  <sheetFormatPr defaultColWidth="14.453125" defaultRowHeight="15" customHeight="1" x14ac:dyDescent="0.4"/>
  <cols>
    <col min="1" max="1" width="11.453125" customWidth="1"/>
    <col min="2" max="2" width="10.81640625" customWidth="1"/>
    <col min="3" max="3" width="7" customWidth="1"/>
    <col min="4" max="5" width="5" customWidth="1"/>
    <col min="6" max="8" width="4.81640625" customWidth="1"/>
    <col min="9" max="12" width="5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32" t="str">
        <f>'University-wide'!A1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</row>
    <row r="2" spans="1:17" ht="14.25" customHeight="1" x14ac:dyDescent="0.4">
      <c r="A2" s="532" t="s">
        <v>315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</row>
    <row r="3" spans="1:17" ht="11.25" customHeight="1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</row>
    <row r="4" spans="1:17" ht="11.25" customHeight="1" x14ac:dyDescent="0.4">
      <c r="A4" s="42" t="s">
        <v>1</v>
      </c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</row>
    <row r="5" spans="1:17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</row>
    <row r="6" spans="1:17" ht="11.25" customHeight="1" x14ac:dyDescent="0.4">
      <c r="A6" s="50"/>
      <c r="B6" s="50"/>
      <c r="C6" s="50"/>
      <c r="D6" s="47" t="s">
        <v>298</v>
      </c>
      <c r="E6" s="48" t="s">
        <v>298</v>
      </c>
      <c r="F6" s="48" t="s">
        <v>298</v>
      </c>
      <c r="G6" s="48" t="s">
        <v>298</v>
      </c>
      <c r="H6" s="48" t="s">
        <v>299</v>
      </c>
      <c r="I6" s="48" t="s">
        <v>299</v>
      </c>
      <c r="J6" s="48" t="s">
        <v>299</v>
      </c>
      <c r="K6" s="48" t="s">
        <v>299</v>
      </c>
      <c r="L6" s="48" t="s">
        <v>299</v>
      </c>
      <c r="M6" s="49" t="s">
        <v>299</v>
      </c>
      <c r="N6" s="51" t="s">
        <v>284</v>
      </c>
      <c r="O6" s="52" t="s">
        <v>284</v>
      </c>
      <c r="P6" s="53" t="s">
        <v>296</v>
      </c>
      <c r="Q6" s="6"/>
    </row>
    <row r="7" spans="1:17" ht="11.25" customHeight="1" x14ac:dyDescent="0.4">
      <c r="A7" s="73" t="s">
        <v>2</v>
      </c>
      <c r="B7" s="17" t="s">
        <v>300</v>
      </c>
      <c r="C7" s="54">
        <f>SUM('By Area'!C18:C21,'By Area'!C34)</f>
        <v>2353</v>
      </c>
      <c r="D7" s="55">
        <f>SUM('By Area'!D18:D21,'By Area'!D34)</f>
        <v>1171</v>
      </c>
      <c r="E7" s="56">
        <f>SUM('By Area'!E18:E21,'By Area'!E34)</f>
        <v>513</v>
      </c>
      <c r="F7" s="56">
        <f>SUM('By Area'!F18:F21,'By Area'!F34)</f>
        <v>308</v>
      </c>
      <c r="G7" s="56">
        <f>SUM('By Area'!G18:G21,'By Area'!G34)</f>
        <v>258</v>
      </c>
      <c r="H7" s="56">
        <f>SUM('By Area'!H18:H21,'By Area'!H34)</f>
        <v>210</v>
      </c>
      <c r="I7" s="56">
        <f>SUM('By Area'!I18:I21,'By Area'!I34)</f>
        <v>229</v>
      </c>
      <c r="J7" s="56">
        <f>SUM('By Area'!J18:J21,'By Area'!J34)</f>
        <v>263</v>
      </c>
      <c r="K7" s="56">
        <f>SUM('By Area'!K18:K21,'By Area'!K34)</f>
        <v>405</v>
      </c>
      <c r="L7" s="56">
        <f>SUM('By Area'!L18:L21,'By Area'!L34)</f>
        <v>751</v>
      </c>
      <c r="M7" s="57">
        <f>SUM('By Area'!M18:M21,'By Area'!M34)</f>
        <v>897</v>
      </c>
      <c r="N7" s="74">
        <f t="shared" ref="N7:N22" si="0">MIN(D7:M7)</f>
        <v>210</v>
      </c>
      <c r="O7" s="74">
        <f t="shared" ref="O7:O22" si="1">C7-N7</f>
        <v>2143</v>
      </c>
      <c r="P7" s="75">
        <f t="shared" ref="P7:P22" si="2">O7/C7</f>
        <v>0.91075223119422011</v>
      </c>
      <c r="Q7" s="6"/>
    </row>
    <row r="8" spans="1:17" ht="11.25" customHeight="1" x14ac:dyDescent="0.4">
      <c r="A8" s="32" t="s">
        <v>4</v>
      </c>
      <c r="B8" s="17" t="s">
        <v>301</v>
      </c>
      <c r="C8" s="54">
        <f>SUM('By Area'!C8+'By Area'!C22+'By Area'!C35)</f>
        <v>5384</v>
      </c>
      <c r="D8" s="54">
        <f>SUM('By Area'!D8+'By Area'!D22+'By Area'!D35)</f>
        <v>2047</v>
      </c>
      <c r="E8" s="58">
        <f>SUM('By Area'!E8+'By Area'!E22+'By Area'!E35)</f>
        <v>1542</v>
      </c>
      <c r="F8" s="58">
        <f>SUM('By Area'!F8+'By Area'!F22+'By Area'!F35)</f>
        <v>1060</v>
      </c>
      <c r="G8" s="58">
        <f>SUM('By Area'!G8+'By Area'!G22+'By Area'!G35)</f>
        <v>917</v>
      </c>
      <c r="H8" s="58">
        <f>SUM('By Area'!H8+'By Area'!H22+'By Area'!H35)</f>
        <v>946</v>
      </c>
      <c r="I8" s="58">
        <f>SUM('By Area'!I8+'By Area'!I22+'By Area'!I35)</f>
        <v>934</v>
      </c>
      <c r="J8" s="58">
        <f>SUM('By Area'!J8+'By Area'!J22+'By Area'!J35)</f>
        <v>937</v>
      </c>
      <c r="K8" s="58">
        <f>SUM('By Area'!K8+'By Area'!K22+'By Area'!K35)</f>
        <v>1554</v>
      </c>
      <c r="L8" s="58">
        <f>SUM('By Area'!L8+'By Area'!L22+'By Area'!L35)</f>
        <v>2248</v>
      </c>
      <c r="M8" s="60">
        <f>SUM('By Area'!M8+'By Area'!M22+'By Area'!M35)</f>
        <v>2770</v>
      </c>
      <c r="N8" s="74">
        <f t="shared" si="0"/>
        <v>917</v>
      </c>
      <c r="O8" s="74">
        <f t="shared" si="1"/>
        <v>4467</v>
      </c>
      <c r="P8" s="75">
        <f t="shared" si="2"/>
        <v>0.82968053491827642</v>
      </c>
      <c r="Q8" s="6"/>
    </row>
    <row r="9" spans="1:17" ht="11.25" customHeight="1" x14ac:dyDescent="0.4">
      <c r="A9" s="32"/>
      <c r="B9" s="17" t="s">
        <v>306</v>
      </c>
      <c r="C9" s="54">
        <f>SUM('By Area'!C37)</f>
        <v>1380</v>
      </c>
      <c r="D9" s="54">
        <f>SUM('By Area'!D37)</f>
        <v>1195</v>
      </c>
      <c r="E9" s="58">
        <f>SUM('By Area'!E37)</f>
        <v>949</v>
      </c>
      <c r="F9" s="58">
        <f>SUM('By Area'!F37)</f>
        <v>670</v>
      </c>
      <c r="G9" s="58">
        <f>SUM('By Area'!G37)</f>
        <v>672</v>
      </c>
      <c r="H9" s="58">
        <f>SUM('By Area'!H37)</f>
        <v>682</v>
      </c>
      <c r="I9" s="58">
        <f>SUM('By Area'!I37)</f>
        <v>650</v>
      </c>
      <c r="J9" s="58">
        <f>SUM('By Area'!J37)</f>
        <v>656</v>
      </c>
      <c r="K9" s="58">
        <f>SUM('By Area'!K37)</f>
        <v>665</v>
      </c>
      <c r="L9" s="58">
        <f>SUM('By Area'!L37)</f>
        <v>767</v>
      </c>
      <c r="M9" s="60">
        <f>SUM('By Area'!M37)</f>
        <v>828</v>
      </c>
      <c r="N9" s="74">
        <f t="shared" si="0"/>
        <v>650</v>
      </c>
      <c r="O9" s="74">
        <f t="shared" si="1"/>
        <v>730</v>
      </c>
      <c r="P9" s="75">
        <f t="shared" si="2"/>
        <v>0.52898550724637683</v>
      </c>
      <c r="Q9" s="6"/>
    </row>
    <row r="10" spans="1:17" ht="11.25" customHeight="1" x14ac:dyDescent="0.4">
      <c r="A10" s="32"/>
      <c r="B10" s="17" t="s">
        <v>303</v>
      </c>
      <c r="C10" s="54">
        <f>SUM('By Area'!C9+'By Area'!C23+'By Area'!C36)</f>
        <v>1570</v>
      </c>
      <c r="D10" s="54">
        <f>SUM('By Area'!D9+'By Area'!D23+'By Area'!D36)</f>
        <v>304</v>
      </c>
      <c r="E10" s="58">
        <f>SUM('By Area'!E9+'By Area'!E23+'By Area'!E36)</f>
        <v>215</v>
      </c>
      <c r="F10" s="58">
        <f>SUM('By Area'!F9+'By Area'!F23+'By Area'!F36)</f>
        <v>270</v>
      </c>
      <c r="G10" s="58">
        <f>SUM('By Area'!G9+'By Area'!G23+'By Area'!G36)</f>
        <v>161</v>
      </c>
      <c r="H10" s="58">
        <f>SUM('By Area'!H9+'By Area'!H23+'By Area'!H36)</f>
        <v>169</v>
      </c>
      <c r="I10" s="58">
        <f>SUM('By Area'!I9+'By Area'!I23+'By Area'!I36)</f>
        <v>153</v>
      </c>
      <c r="J10" s="58">
        <f>SUM('By Area'!J9+'By Area'!J23+'By Area'!J36)</f>
        <v>152</v>
      </c>
      <c r="K10" s="58">
        <f>SUM('By Area'!K9+'By Area'!K23+'By Area'!K36)</f>
        <v>171</v>
      </c>
      <c r="L10" s="58">
        <f>SUM('By Area'!L9+'By Area'!L23+'By Area'!L36)</f>
        <v>218</v>
      </c>
      <c r="M10" s="60">
        <f>SUM('By Area'!M9+'By Area'!M23+'By Area'!M36)</f>
        <v>329</v>
      </c>
      <c r="N10" s="74">
        <f t="shared" si="0"/>
        <v>152</v>
      </c>
      <c r="O10" s="74">
        <f t="shared" si="1"/>
        <v>1418</v>
      </c>
      <c r="P10" s="75">
        <f t="shared" si="2"/>
        <v>0.9031847133757962</v>
      </c>
      <c r="Q10" s="6"/>
    </row>
    <row r="11" spans="1:17" ht="11.25" customHeight="1" x14ac:dyDescent="0.4">
      <c r="A11" s="32"/>
      <c r="B11" s="17" t="s">
        <v>305</v>
      </c>
      <c r="C11" s="54">
        <f>SUM('By Area'!C24)</f>
        <v>228</v>
      </c>
      <c r="D11" s="54">
        <f>SUM('By Area'!D24)</f>
        <v>0</v>
      </c>
      <c r="E11" s="58">
        <f>SUM('By Area'!E24)</f>
        <v>0</v>
      </c>
      <c r="F11" s="58">
        <f>SUM('By Area'!F24)</f>
        <v>0</v>
      </c>
      <c r="G11" s="58">
        <f>SUM('By Area'!G24)</f>
        <v>0</v>
      </c>
      <c r="H11" s="58">
        <f>SUM('By Area'!H24)</f>
        <v>0</v>
      </c>
      <c r="I11" s="58">
        <f>SUM('By Area'!I24)</f>
        <v>0</v>
      </c>
      <c r="J11" s="58">
        <f>SUM('By Area'!J24)</f>
        <v>0</v>
      </c>
      <c r="K11" s="58">
        <f>SUM('By Area'!K24)</f>
        <v>3</v>
      </c>
      <c r="L11" s="58">
        <f>SUM('By Area'!L24)</f>
        <v>1</v>
      </c>
      <c r="M11" s="60">
        <f>SUM('By Area'!M24)</f>
        <v>0</v>
      </c>
      <c r="N11" s="74">
        <f t="shared" si="0"/>
        <v>0</v>
      </c>
      <c r="O11" s="74">
        <f t="shared" si="1"/>
        <v>228</v>
      </c>
      <c r="P11" s="75">
        <f t="shared" si="2"/>
        <v>1</v>
      </c>
      <c r="Q11" s="6"/>
    </row>
    <row r="12" spans="1:17" ht="11.25" customHeight="1" x14ac:dyDescent="0.4">
      <c r="A12" s="32"/>
      <c r="B12" s="17" t="s">
        <v>316</v>
      </c>
      <c r="C12" s="54">
        <f>'By Area'!C25</f>
        <v>398</v>
      </c>
      <c r="D12" s="54">
        <f>'By Area'!D25</f>
        <v>0</v>
      </c>
      <c r="E12" s="58">
        <f>'By Area'!E25</f>
        <v>0</v>
      </c>
      <c r="F12" s="58">
        <f>'By Area'!F25</f>
        <v>0</v>
      </c>
      <c r="G12" s="58">
        <f>'By Area'!G25</f>
        <v>1</v>
      </c>
      <c r="H12" s="58">
        <f>'By Area'!H25</f>
        <v>0</v>
      </c>
      <c r="I12" s="58">
        <f>'By Area'!I25</f>
        <v>0</v>
      </c>
      <c r="J12" s="58">
        <f>'By Area'!J25</f>
        <v>0</v>
      </c>
      <c r="K12" s="58">
        <f>'By Area'!K25</f>
        <v>1</v>
      </c>
      <c r="L12" s="58">
        <f>'By Area'!L25</f>
        <v>0</v>
      </c>
      <c r="M12" s="60">
        <f>'By Area'!M25</f>
        <v>1</v>
      </c>
      <c r="N12" s="74">
        <f t="shared" si="0"/>
        <v>0</v>
      </c>
      <c r="O12" s="74">
        <f t="shared" si="1"/>
        <v>398</v>
      </c>
      <c r="P12" s="75">
        <f t="shared" si="2"/>
        <v>1</v>
      </c>
      <c r="Q12" s="6"/>
    </row>
    <row r="13" spans="1:17" ht="11.25" customHeight="1" x14ac:dyDescent="0.4">
      <c r="A13" s="32"/>
      <c r="B13" s="17" t="s">
        <v>307</v>
      </c>
      <c r="C13" s="54">
        <f>SUM('By Area'!C10+'By Area'!C26+'By Area'!C39)</f>
        <v>1858</v>
      </c>
      <c r="D13" s="54">
        <f>SUM('By Area'!D10+'By Area'!D26+'By Area'!D39)</f>
        <v>861</v>
      </c>
      <c r="E13" s="58">
        <f>SUM('By Area'!E10+'By Area'!E26+'By Area'!E39)</f>
        <v>489</v>
      </c>
      <c r="F13" s="58">
        <f>SUM('By Area'!F10+'By Area'!F26+'By Area'!F39)</f>
        <v>376</v>
      </c>
      <c r="G13" s="58">
        <f>SUM('By Area'!G10+'By Area'!G26+'By Area'!G39)</f>
        <v>310</v>
      </c>
      <c r="H13" s="58">
        <f>SUM('By Area'!H10+'By Area'!H26+'By Area'!H39)</f>
        <v>312</v>
      </c>
      <c r="I13" s="58">
        <f>SUM('By Area'!I10+'By Area'!I26+'By Area'!I39)</f>
        <v>300</v>
      </c>
      <c r="J13" s="58">
        <f>SUM('By Area'!J10+'By Area'!J26+'By Area'!J39)</f>
        <v>283</v>
      </c>
      <c r="K13" s="58">
        <f>SUM('By Area'!K10+'By Area'!K26+'By Area'!K39)</f>
        <v>333</v>
      </c>
      <c r="L13" s="58">
        <f>SUM('By Area'!L10+'By Area'!L26+'By Area'!L39)</f>
        <v>516</v>
      </c>
      <c r="M13" s="60">
        <f>SUM('By Area'!M10+'By Area'!M26+'By Area'!M39)</f>
        <v>671</v>
      </c>
      <c r="N13" s="74">
        <f t="shared" si="0"/>
        <v>283</v>
      </c>
      <c r="O13" s="74">
        <f t="shared" si="1"/>
        <v>1575</v>
      </c>
      <c r="P13" s="75">
        <f t="shared" si="2"/>
        <v>0.84768568353067819</v>
      </c>
      <c r="Q13" s="6"/>
    </row>
    <row r="14" spans="1:17" ht="11.25" customHeight="1" x14ac:dyDescent="0.4">
      <c r="A14" s="32"/>
      <c r="B14" s="17" t="s">
        <v>308</v>
      </c>
      <c r="C14" s="54">
        <f>SUM('By Area'!C11+'By Area'!C27+'By Area'!C40)</f>
        <v>532</v>
      </c>
      <c r="D14" s="54">
        <f>SUM('By Area'!D11+'By Area'!D27+'By Area'!D40)</f>
        <v>371</v>
      </c>
      <c r="E14" s="58">
        <f>SUM('By Area'!E11+'By Area'!E27+'By Area'!E40)</f>
        <v>329</v>
      </c>
      <c r="F14" s="58">
        <f>SUM('By Area'!F11+'By Area'!F27+'By Area'!F40)</f>
        <v>309</v>
      </c>
      <c r="G14" s="58">
        <f>SUM('By Area'!G11+'By Area'!G27+'By Area'!G40)</f>
        <v>266</v>
      </c>
      <c r="H14" s="58">
        <f>SUM('By Area'!H11+'By Area'!H27+'By Area'!H40)</f>
        <v>259</v>
      </c>
      <c r="I14" s="58">
        <f>SUM('By Area'!I11+'By Area'!I27+'By Area'!I40)</f>
        <v>263</v>
      </c>
      <c r="J14" s="58">
        <f>SUM('By Area'!J11+'By Area'!J27+'By Area'!J40)</f>
        <v>273</v>
      </c>
      <c r="K14" s="58">
        <f>SUM('By Area'!K11+'By Area'!K27+'By Area'!K40)</f>
        <v>302</v>
      </c>
      <c r="L14" s="58">
        <f>SUM('By Area'!L11+'By Area'!L27+'By Area'!L40)</f>
        <v>329</v>
      </c>
      <c r="M14" s="60">
        <f>SUM('By Area'!M11+'By Area'!M27+'By Area'!M40)</f>
        <v>347</v>
      </c>
      <c r="N14" s="74">
        <f t="shared" si="0"/>
        <v>259</v>
      </c>
      <c r="O14" s="74">
        <f t="shared" si="1"/>
        <v>273</v>
      </c>
      <c r="P14" s="75">
        <f t="shared" si="2"/>
        <v>0.51315789473684215</v>
      </c>
      <c r="Q14" s="6"/>
    </row>
    <row r="15" spans="1:17" ht="11.25" customHeight="1" x14ac:dyDescent="0.4">
      <c r="A15" s="32"/>
      <c r="B15" s="17" t="s">
        <v>309</v>
      </c>
      <c r="C15" s="54">
        <f>SUM('By Area'!C12+'By Area'!C28+'By Area'!C41)</f>
        <v>1686</v>
      </c>
      <c r="D15" s="54">
        <f>SUM('By Area'!D12+'By Area'!D28+'By Area'!D41)</f>
        <v>1124</v>
      </c>
      <c r="E15" s="58">
        <f>SUM('By Area'!E12+'By Area'!E28+'By Area'!E41)</f>
        <v>891</v>
      </c>
      <c r="F15" s="58">
        <f>SUM('By Area'!F12+'By Area'!F28+'By Area'!F41)</f>
        <v>538</v>
      </c>
      <c r="G15" s="58">
        <f>SUM('By Area'!G12+'By Area'!G28+'By Area'!G41)</f>
        <v>405</v>
      </c>
      <c r="H15" s="58">
        <f>SUM('By Area'!H12+'By Area'!H28+'By Area'!H41)</f>
        <v>395</v>
      </c>
      <c r="I15" s="58">
        <f>SUM('By Area'!I12+'By Area'!I28+'By Area'!I41)</f>
        <v>362</v>
      </c>
      <c r="J15" s="58">
        <f>SUM('By Area'!J12+'By Area'!J28+'By Area'!J41)</f>
        <v>394</v>
      </c>
      <c r="K15" s="58">
        <f>SUM('By Area'!K12+'By Area'!K28+'By Area'!K41)</f>
        <v>503</v>
      </c>
      <c r="L15" s="58">
        <f>SUM('By Area'!L12+'By Area'!L28+'By Area'!L41)</f>
        <v>683</v>
      </c>
      <c r="M15" s="60">
        <f>SUM('By Area'!M12+'By Area'!M28+'By Area'!M41)</f>
        <v>862</v>
      </c>
      <c r="N15" s="74">
        <f t="shared" si="0"/>
        <v>362</v>
      </c>
      <c r="O15" s="74">
        <f t="shared" si="1"/>
        <v>1324</v>
      </c>
      <c r="P15" s="75">
        <f t="shared" si="2"/>
        <v>0.78529062870699884</v>
      </c>
      <c r="Q15" s="6"/>
    </row>
    <row r="16" spans="1:17" ht="11.25" customHeight="1" x14ac:dyDescent="0.4">
      <c r="A16" s="32"/>
      <c r="B16" s="17" t="s">
        <v>310</v>
      </c>
      <c r="C16" s="54">
        <f>SUM('By Area'!C13+'By Area'!C29+'By Area'!C42)</f>
        <v>714</v>
      </c>
      <c r="D16" s="54">
        <f>SUM('By Area'!D13+'By Area'!D29+'By Area'!D42)</f>
        <v>384</v>
      </c>
      <c r="E16" s="58">
        <f>SUM('By Area'!E13+'By Area'!E29+'By Area'!E42)</f>
        <v>307</v>
      </c>
      <c r="F16" s="58">
        <f>SUM('By Area'!F13+'By Area'!F29+'By Area'!F42)</f>
        <v>247</v>
      </c>
      <c r="G16" s="58">
        <f>SUM('By Area'!G13+'By Area'!G29+'By Area'!G42)</f>
        <v>233</v>
      </c>
      <c r="H16" s="58">
        <f>SUM('By Area'!H13+'By Area'!H29+'By Area'!H42)</f>
        <v>270</v>
      </c>
      <c r="I16" s="58">
        <f>SUM('By Area'!I13+'By Area'!I29+'By Area'!I42)</f>
        <v>224</v>
      </c>
      <c r="J16" s="58">
        <f>SUM('By Area'!J13+'By Area'!J29+'By Area'!J42)</f>
        <v>254</v>
      </c>
      <c r="K16" s="58">
        <f>SUM('By Area'!K13+'By Area'!K29+'By Area'!K42)</f>
        <v>324</v>
      </c>
      <c r="L16" s="58">
        <f>SUM('By Area'!L13+'By Area'!L29+'By Area'!L42)</f>
        <v>397</v>
      </c>
      <c r="M16" s="60">
        <f>SUM('By Area'!M13+'By Area'!M29+'By Area'!M42)</f>
        <v>442</v>
      </c>
      <c r="N16" s="74">
        <f t="shared" si="0"/>
        <v>224</v>
      </c>
      <c r="O16" s="74">
        <f t="shared" si="1"/>
        <v>490</v>
      </c>
      <c r="P16" s="75">
        <f t="shared" si="2"/>
        <v>0.68627450980392157</v>
      </c>
      <c r="Q16" s="6"/>
    </row>
    <row r="17" spans="1:17" ht="11.25" customHeight="1" x14ac:dyDescent="0.4">
      <c r="A17" s="32"/>
      <c r="B17" s="17" t="s">
        <v>311</v>
      </c>
      <c r="C17" s="54">
        <f>SUM('By Area'!C14+'By Area'!C30+'By Area'!C43)</f>
        <v>240</v>
      </c>
      <c r="D17" s="54">
        <f>SUM('By Area'!D14+'By Area'!D30+'By Area'!D43)</f>
        <v>48</v>
      </c>
      <c r="E17" s="58">
        <f>SUM('By Area'!E14+'By Area'!E30+'By Area'!E43)</f>
        <v>56</v>
      </c>
      <c r="F17" s="58">
        <f>SUM('By Area'!F14+'By Area'!F30+'By Area'!F43)</f>
        <v>49</v>
      </c>
      <c r="G17" s="58">
        <f>SUM('By Area'!G14+'By Area'!G30+'By Area'!G43)</f>
        <v>53</v>
      </c>
      <c r="H17" s="58">
        <f>SUM('By Area'!H14+'By Area'!H30+'By Area'!H43)</f>
        <v>51</v>
      </c>
      <c r="I17" s="58">
        <f>SUM('By Area'!I14+'By Area'!I30+'By Area'!I43)</f>
        <v>61</v>
      </c>
      <c r="J17" s="58">
        <f>SUM('By Area'!J14+'By Area'!J30+'By Area'!J43)</f>
        <v>54</v>
      </c>
      <c r="K17" s="58">
        <f>SUM('By Area'!K14+'By Area'!K30+'By Area'!K43)</f>
        <v>54</v>
      </c>
      <c r="L17" s="58">
        <f>SUM('By Area'!L14+'By Area'!L30+'By Area'!L43)</f>
        <v>57</v>
      </c>
      <c r="M17" s="60">
        <f>SUM('By Area'!M14+'By Area'!M30+'By Area'!M43)</f>
        <v>58</v>
      </c>
      <c r="N17" s="74">
        <f t="shared" si="0"/>
        <v>48</v>
      </c>
      <c r="O17" s="74">
        <f t="shared" si="1"/>
        <v>192</v>
      </c>
      <c r="P17" s="75">
        <f t="shared" si="2"/>
        <v>0.8</v>
      </c>
      <c r="Q17" s="6"/>
    </row>
    <row r="18" spans="1:17" ht="11.25" customHeight="1" x14ac:dyDescent="0.4">
      <c r="A18" s="32"/>
      <c r="B18" s="17" t="s">
        <v>312</v>
      </c>
      <c r="C18" s="54">
        <f>SUM('By Area'!C15+'By Area'!C31+'By Area'!C44)</f>
        <v>81</v>
      </c>
      <c r="D18" s="54">
        <f>SUM('By Area'!D15+'By Area'!D31+'By Area'!D44)</f>
        <v>39</v>
      </c>
      <c r="E18" s="58">
        <f>SUM('By Area'!E15+'By Area'!E31+'By Area'!E44)</f>
        <v>29</v>
      </c>
      <c r="F18" s="58">
        <f>SUM('By Area'!F15+'By Area'!F31+'By Area'!F44)</f>
        <v>22</v>
      </c>
      <c r="G18" s="58">
        <f>SUM('By Area'!G15+'By Area'!G31+'By Area'!G44)</f>
        <v>22</v>
      </c>
      <c r="H18" s="58">
        <f>SUM('By Area'!H15+'By Area'!H31+'By Area'!H44)</f>
        <v>22</v>
      </c>
      <c r="I18" s="58">
        <f>SUM('By Area'!I15+'By Area'!I31+'By Area'!I44)</f>
        <v>23</v>
      </c>
      <c r="J18" s="58">
        <f>SUM('By Area'!J15+'By Area'!J31+'By Area'!J44)</f>
        <v>26</v>
      </c>
      <c r="K18" s="58">
        <f>SUM('By Area'!K15+'By Area'!K31+'By Area'!K44)</f>
        <v>25</v>
      </c>
      <c r="L18" s="58">
        <f>SUM('By Area'!L15+'By Area'!L31+'By Area'!L44)</f>
        <v>30</v>
      </c>
      <c r="M18" s="60">
        <f>SUM('By Area'!M15+'By Area'!M31+'By Area'!M44)</f>
        <v>35</v>
      </c>
      <c r="N18" s="74">
        <f t="shared" si="0"/>
        <v>22</v>
      </c>
      <c r="O18" s="74">
        <f t="shared" si="1"/>
        <v>59</v>
      </c>
      <c r="P18" s="75">
        <f t="shared" si="2"/>
        <v>0.72839506172839508</v>
      </c>
      <c r="Q18" s="6"/>
    </row>
    <row r="19" spans="1:17" ht="11.25" customHeight="1" x14ac:dyDescent="0.4">
      <c r="A19" s="32"/>
      <c r="B19" s="17" t="s">
        <v>313</v>
      </c>
      <c r="C19" s="54">
        <f>SUM('By Area'!C16+'By Area'!C32+'By Area'!C45)</f>
        <v>121</v>
      </c>
      <c r="D19" s="62">
        <f>SUM('By Area'!D16+'By Area'!D32+'By Area'!D45)</f>
        <v>76</v>
      </c>
      <c r="E19" s="63">
        <f>SUM('By Area'!E16+'By Area'!E32+'By Area'!E45)</f>
        <v>71</v>
      </c>
      <c r="F19" s="63">
        <f>SUM('By Area'!F16+'By Area'!F32+'By Area'!F45)</f>
        <v>62</v>
      </c>
      <c r="G19" s="63">
        <f>SUM('By Area'!G16+'By Area'!G32+'By Area'!G45)</f>
        <v>57</v>
      </c>
      <c r="H19" s="63">
        <f>SUM('By Area'!H16+'By Area'!H32+'By Area'!H45)</f>
        <v>54</v>
      </c>
      <c r="I19" s="63">
        <f>SUM('By Area'!I16+'By Area'!I32+'By Area'!I45)</f>
        <v>47</v>
      </c>
      <c r="J19" s="63">
        <f>SUM('By Area'!J16+'By Area'!J32+'By Area'!J45)</f>
        <v>52</v>
      </c>
      <c r="K19" s="63">
        <f>SUM('By Area'!K16+'By Area'!K32+'By Area'!K45)</f>
        <v>54</v>
      </c>
      <c r="L19" s="63">
        <f>SUM('By Area'!L16+'By Area'!L32+'By Area'!L45)</f>
        <v>65</v>
      </c>
      <c r="M19" s="64">
        <f>SUM('By Area'!M16+'By Area'!M32+'By Area'!M45)</f>
        <v>72</v>
      </c>
      <c r="N19" s="74">
        <f t="shared" si="0"/>
        <v>47</v>
      </c>
      <c r="O19" s="74">
        <f t="shared" si="1"/>
        <v>74</v>
      </c>
      <c r="P19" s="75">
        <f t="shared" si="2"/>
        <v>0.61157024793388426</v>
      </c>
      <c r="Q19" s="6"/>
    </row>
    <row r="20" spans="1:17" ht="11.25" customHeight="1" x14ac:dyDescent="0.4">
      <c r="A20" s="76"/>
      <c r="B20" s="65" t="s">
        <v>314</v>
      </c>
      <c r="C20" s="77">
        <f t="shared" ref="C20:M20" si="3">SUM(C7:C19)</f>
        <v>16545</v>
      </c>
      <c r="D20" s="67">
        <f t="shared" si="3"/>
        <v>7620</v>
      </c>
      <c r="E20" s="68">
        <f t="shared" si="3"/>
        <v>5391</v>
      </c>
      <c r="F20" s="68">
        <f t="shared" si="3"/>
        <v>3911</v>
      </c>
      <c r="G20" s="68">
        <f t="shared" si="3"/>
        <v>3355</v>
      </c>
      <c r="H20" s="68">
        <f t="shared" si="3"/>
        <v>3370</v>
      </c>
      <c r="I20" s="68">
        <f t="shared" si="3"/>
        <v>3246</v>
      </c>
      <c r="J20" s="68">
        <f t="shared" si="3"/>
        <v>3344</v>
      </c>
      <c r="K20" s="68">
        <f t="shared" si="3"/>
        <v>4394</v>
      </c>
      <c r="L20" s="68">
        <f t="shared" si="3"/>
        <v>6062</v>
      </c>
      <c r="M20" s="69">
        <f t="shared" si="3"/>
        <v>7312</v>
      </c>
      <c r="N20" s="70">
        <f t="shared" si="0"/>
        <v>3246</v>
      </c>
      <c r="O20" s="71">
        <f t="shared" si="1"/>
        <v>13299</v>
      </c>
      <c r="P20" s="72">
        <f t="shared" si="2"/>
        <v>0.80380779691749771</v>
      </c>
      <c r="Q20" s="6"/>
    </row>
    <row r="21" spans="1:17" ht="11.25" customHeight="1" x14ac:dyDescent="0.4">
      <c r="A21" s="55" t="s">
        <v>10</v>
      </c>
      <c r="B21" s="55" t="s">
        <v>300</v>
      </c>
      <c r="C21" s="78">
        <f>SUM('By Area'!C47)</f>
        <v>240</v>
      </c>
      <c r="D21" s="79">
        <f>SUM('By Area'!D47)</f>
        <v>115</v>
      </c>
      <c r="E21" s="79">
        <f>SUM('By Area'!E47)</f>
        <v>55</v>
      </c>
      <c r="F21" s="79">
        <f>SUM('By Area'!F47)</f>
        <v>39</v>
      </c>
      <c r="G21" s="79">
        <f>SUM('By Area'!G47)</f>
        <v>34</v>
      </c>
      <c r="H21" s="79">
        <f>SUM('By Area'!H47)</f>
        <v>40</v>
      </c>
      <c r="I21" s="79">
        <f>SUM('By Area'!I47)</f>
        <v>27</v>
      </c>
      <c r="J21" s="79">
        <f>SUM('By Area'!J47)</f>
        <v>33</v>
      </c>
      <c r="K21" s="79">
        <f>SUM('By Area'!K47)</f>
        <v>47</v>
      </c>
      <c r="L21" s="79">
        <f>SUM('By Area'!L47)</f>
        <v>68</v>
      </c>
      <c r="M21" s="79">
        <f>SUM('By Area'!M47)</f>
        <v>116</v>
      </c>
      <c r="N21" s="80">
        <f t="shared" si="0"/>
        <v>27</v>
      </c>
      <c r="O21" s="79">
        <f t="shared" si="1"/>
        <v>213</v>
      </c>
      <c r="P21" s="81">
        <f t="shared" si="2"/>
        <v>0.88749999999999996</v>
      </c>
      <c r="Q21" s="6"/>
    </row>
    <row r="22" spans="1:17" ht="11.25" customHeight="1" x14ac:dyDescent="0.4">
      <c r="A22" s="54" t="s">
        <v>12</v>
      </c>
      <c r="B22" s="54" t="s">
        <v>301</v>
      </c>
      <c r="C22" s="82">
        <f>SUM('By Area'!C48)</f>
        <v>1087</v>
      </c>
      <c r="D22" s="74">
        <f>SUM('By Area'!D48)</f>
        <v>343</v>
      </c>
      <c r="E22" s="74">
        <f>SUM('By Area'!E48)</f>
        <v>234</v>
      </c>
      <c r="F22" s="74">
        <f>SUM('By Area'!F48)</f>
        <v>179</v>
      </c>
      <c r="G22" s="74">
        <f>SUM('By Area'!G48)</f>
        <v>185</v>
      </c>
      <c r="H22" s="74">
        <f>SUM('By Area'!H48)</f>
        <v>196</v>
      </c>
      <c r="I22" s="74">
        <f>SUM('By Area'!I48)</f>
        <v>204</v>
      </c>
      <c r="J22" s="74">
        <f>SUM('By Area'!J48)</f>
        <v>207</v>
      </c>
      <c r="K22" s="74">
        <f>SUM('By Area'!K48)</f>
        <v>279</v>
      </c>
      <c r="L22" s="74">
        <f>SUM('By Area'!L48)</f>
        <v>473</v>
      </c>
      <c r="M22" s="74">
        <f>SUM('By Area'!M48)</f>
        <v>619</v>
      </c>
      <c r="N22" s="83">
        <f t="shared" si="0"/>
        <v>179</v>
      </c>
      <c r="O22" s="74">
        <f t="shared" si="1"/>
        <v>908</v>
      </c>
      <c r="P22" s="75">
        <f t="shared" si="2"/>
        <v>0.83532658693652251</v>
      </c>
      <c r="Q22" s="6"/>
    </row>
    <row r="23" spans="1:17" ht="11.25" customHeight="1" x14ac:dyDescent="0.4">
      <c r="A23" s="54" t="s">
        <v>5</v>
      </c>
      <c r="B23" s="54" t="s">
        <v>303</v>
      </c>
      <c r="C23" s="82"/>
      <c r="D23" s="58"/>
      <c r="E23" s="84"/>
      <c r="F23" s="84"/>
      <c r="G23" s="84"/>
      <c r="H23" s="84"/>
      <c r="I23" s="84"/>
      <c r="J23" s="84"/>
      <c r="K23" s="84"/>
      <c r="L23" s="84"/>
      <c r="M23" s="84"/>
      <c r="N23" s="54"/>
      <c r="O23" s="84"/>
      <c r="P23" s="85"/>
      <c r="Q23" s="6"/>
    </row>
    <row r="24" spans="1:17" ht="11.25" customHeight="1" x14ac:dyDescent="0.4">
      <c r="A24" s="17"/>
      <c r="B24" s="54" t="s">
        <v>307</v>
      </c>
      <c r="C24" s="82">
        <f>SUM('By Area'!C50)</f>
        <v>241</v>
      </c>
      <c r="D24" s="74">
        <f>SUM('By Area'!D50)</f>
        <v>97</v>
      </c>
      <c r="E24" s="74">
        <f>SUM('By Area'!E50)</f>
        <v>50</v>
      </c>
      <c r="F24" s="74">
        <f>SUM('By Area'!F50)</f>
        <v>32</v>
      </c>
      <c r="G24" s="74">
        <f>SUM('By Area'!G50)</f>
        <v>26</v>
      </c>
      <c r="H24" s="74">
        <f>SUM('By Area'!H50)</f>
        <v>38</v>
      </c>
      <c r="I24" s="74">
        <f>SUM('By Area'!I50)</f>
        <v>42</v>
      </c>
      <c r="J24" s="74">
        <f>SUM('By Area'!J50)</f>
        <v>43</v>
      </c>
      <c r="K24" s="74">
        <f>SUM('By Area'!K50)</f>
        <v>53</v>
      </c>
      <c r="L24" s="74">
        <f>SUM('By Area'!L50)</f>
        <v>78</v>
      </c>
      <c r="M24" s="74">
        <f>SUM('By Area'!M50)</f>
        <v>126</v>
      </c>
      <c r="N24" s="83">
        <f t="shared" ref="N24:N31" si="4">MIN(D24:M24)</f>
        <v>26</v>
      </c>
      <c r="O24" s="74">
        <f t="shared" ref="O24:O31" si="5">C24-N24</f>
        <v>215</v>
      </c>
      <c r="P24" s="75">
        <f t="shared" ref="P24:P31" si="6">O24/C24</f>
        <v>0.89211618257261416</v>
      </c>
      <c r="Q24" s="6"/>
    </row>
    <row r="25" spans="1:17" ht="11.25" customHeight="1" x14ac:dyDescent="0.4">
      <c r="A25" s="17"/>
      <c r="B25" s="54" t="s">
        <v>308</v>
      </c>
      <c r="C25" s="82">
        <f>SUM('By Area'!C51)</f>
        <v>87</v>
      </c>
      <c r="D25" s="74">
        <f>SUM('By Area'!D51)</f>
        <v>70</v>
      </c>
      <c r="E25" s="74">
        <f>SUM('By Area'!E51)</f>
        <v>60</v>
      </c>
      <c r="F25" s="74">
        <f>SUM('By Area'!F51)</f>
        <v>55</v>
      </c>
      <c r="G25" s="74">
        <f>SUM('By Area'!G51)</f>
        <v>59</v>
      </c>
      <c r="H25" s="74">
        <f>SUM('By Area'!H51)</f>
        <v>54</v>
      </c>
      <c r="I25" s="74">
        <f>SUM('By Area'!I51)</f>
        <v>56</v>
      </c>
      <c r="J25" s="74">
        <f>SUM('By Area'!J51)</f>
        <v>52</v>
      </c>
      <c r="K25" s="74">
        <f>SUM('By Area'!K51)</f>
        <v>56</v>
      </c>
      <c r="L25" s="74">
        <f>SUM('By Area'!L51)</f>
        <v>65</v>
      </c>
      <c r="M25" s="74">
        <f>SUM('By Area'!M51)</f>
        <v>73</v>
      </c>
      <c r="N25" s="83">
        <f t="shared" si="4"/>
        <v>52</v>
      </c>
      <c r="O25" s="74">
        <f t="shared" si="5"/>
        <v>35</v>
      </c>
      <c r="P25" s="75">
        <f t="shared" si="6"/>
        <v>0.40229885057471265</v>
      </c>
      <c r="Q25" s="6"/>
    </row>
    <row r="26" spans="1:17" ht="11.25" customHeight="1" x14ac:dyDescent="0.4">
      <c r="A26" s="17"/>
      <c r="B26" s="54" t="s">
        <v>309</v>
      </c>
      <c r="C26" s="82">
        <f>SUM('By Area'!C52)</f>
        <v>202</v>
      </c>
      <c r="D26" s="74">
        <f>SUM('By Area'!D52)</f>
        <v>122</v>
      </c>
      <c r="E26" s="74">
        <f>SUM('By Area'!E52)</f>
        <v>112</v>
      </c>
      <c r="F26" s="74">
        <f>SUM('By Area'!F52)</f>
        <v>110</v>
      </c>
      <c r="G26" s="74">
        <f>SUM('By Area'!G52)</f>
        <v>115</v>
      </c>
      <c r="H26" s="74">
        <f>SUM('By Area'!H52)</f>
        <v>115</v>
      </c>
      <c r="I26" s="74">
        <f>SUM('By Area'!I52)</f>
        <v>114</v>
      </c>
      <c r="J26" s="74">
        <f>SUM('By Area'!J52)</f>
        <v>109</v>
      </c>
      <c r="K26" s="74">
        <f>SUM('By Area'!K52)</f>
        <v>108</v>
      </c>
      <c r="L26" s="74">
        <f>SUM('By Area'!L52)</f>
        <v>121</v>
      </c>
      <c r="M26" s="74">
        <f>SUM('By Area'!M52)</f>
        <v>133</v>
      </c>
      <c r="N26" s="83">
        <f t="shared" si="4"/>
        <v>108</v>
      </c>
      <c r="O26" s="74">
        <f t="shared" si="5"/>
        <v>94</v>
      </c>
      <c r="P26" s="75">
        <f t="shared" si="6"/>
        <v>0.46534653465346537</v>
      </c>
      <c r="Q26" s="6"/>
    </row>
    <row r="27" spans="1:17" ht="11.25" customHeight="1" x14ac:dyDescent="0.4">
      <c r="A27" s="54"/>
      <c r="B27" s="54" t="s">
        <v>310</v>
      </c>
      <c r="C27" s="82">
        <f>SUM('By Area'!C53)</f>
        <v>45</v>
      </c>
      <c r="D27" s="74">
        <f>SUM('By Area'!D53)</f>
        <v>11</v>
      </c>
      <c r="E27" s="74">
        <f>SUM('By Area'!E53)</f>
        <v>5</v>
      </c>
      <c r="F27" s="74">
        <f>SUM('By Area'!F53)</f>
        <v>3</v>
      </c>
      <c r="G27" s="74">
        <f>SUM('By Area'!G53)</f>
        <v>5</v>
      </c>
      <c r="H27" s="74">
        <f>SUM('By Area'!H53)</f>
        <v>4</v>
      </c>
      <c r="I27" s="74">
        <f>SUM('By Area'!I53)</f>
        <v>5</v>
      </c>
      <c r="J27" s="74">
        <f>SUM('By Area'!J53)</f>
        <v>4</v>
      </c>
      <c r="K27" s="74">
        <f>SUM('By Area'!K53)</f>
        <v>4</v>
      </c>
      <c r="L27" s="74">
        <f>SUM('By Area'!L53)</f>
        <v>15</v>
      </c>
      <c r="M27" s="74">
        <f>SUM('By Area'!M53)</f>
        <v>23</v>
      </c>
      <c r="N27" s="83">
        <f t="shared" si="4"/>
        <v>3</v>
      </c>
      <c r="O27" s="74">
        <f t="shared" si="5"/>
        <v>42</v>
      </c>
      <c r="P27" s="75">
        <f t="shared" si="6"/>
        <v>0.93333333333333335</v>
      </c>
      <c r="Q27" s="6"/>
    </row>
    <row r="28" spans="1:17" ht="11.25" customHeight="1" x14ac:dyDescent="0.4">
      <c r="A28" s="54"/>
      <c r="B28" s="54" t="s">
        <v>311</v>
      </c>
      <c r="C28" s="82">
        <f>SUM('By Area'!C54)</f>
        <v>13</v>
      </c>
      <c r="D28" s="74">
        <f>SUM('By Area'!D54)</f>
        <v>5</v>
      </c>
      <c r="E28" s="74">
        <f>SUM('By Area'!E54)</f>
        <v>5</v>
      </c>
      <c r="F28" s="74">
        <f>SUM('By Area'!F54)</f>
        <v>3</v>
      </c>
      <c r="G28" s="74">
        <f>SUM('By Area'!G54)</f>
        <v>3</v>
      </c>
      <c r="H28" s="74">
        <f>SUM('By Area'!H54)</f>
        <v>4</v>
      </c>
      <c r="I28" s="74">
        <f>SUM('By Area'!I54)</f>
        <v>4</v>
      </c>
      <c r="J28" s="74">
        <f>SUM('By Area'!J54)</f>
        <v>4</v>
      </c>
      <c r="K28" s="74">
        <f>SUM('By Area'!K54)</f>
        <v>3</v>
      </c>
      <c r="L28" s="74">
        <f>SUM('By Area'!L54)</f>
        <v>3</v>
      </c>
      <c r="M28" s="74">
        <f>SUM('By Area'!M54)</f>
        <v>3</v>
      </c>
      <c r="N28" s="83">
        <f t="shared" si="4"/>
        <v>3</v>
      </c>
      <c r="O28" s="74">
        <f t="shared" si="5"/>
        <v>10</v>
      </c>
      <c r="P28" s="75">
        <f t="shared" si="6"/>
        <v>0.76923076923076927</v>
      </c>
      <c r="Q28" s="6"/>
    </row>
    <row r="29" spans="1:17" ht="11.25" customHeight="1" x14ac:dyDescent="0.4">
      <c r="A29" s="54"/>
      <c r="B29" s="54" t="s">
        <v>312</v>
      </c>
      <c r="C29" s="82">
        <f>SUM('By Area'!C55)</f>
        <v>14</v>
      </c>
      <c r="D29" s="74">
        <f>SUM('By Area'!D55)</f>
        <v>4</v>
      </c>
      <c r="E29" s="74">
        <f>SUM('By Area'!E55)</f>
        <v>5</v>
      </c>
      <c r="F29" s="74">
        <f>SUM('By Area'!F55)</f>
        <v>1</v>
      </c>
      <c r="G29" s="74">
        <f>SUM('By Area'!G55)</f>
        <v>4</v>
      </c>
      <c r="H29" s="74">
        <f>SUM('By Area'!H55)</f>
        <v>4</v>
      </c>
      <c r="I29" s="74">
        <f>SUM('By Area'!I55)</f>
        <v>2</v>
      </c>
      <c r="J29" s="74">
        <f>SUM('By Area'!J55)</f>
        <v>1</v>
      </c>
      <c r="K29" s="74">
        <f>SUM('By Area'!K55)</f>
        <v>0</v>
      </c>
      <c r="L29" s="74">
        <f>SUM('By Area'!L55)</f>
        <v>2</v>
      </c>
      <c r="M29" s="74">
        <f>SUM('By Area'!M55)</f>
        <v>2</v>
      </c>
      <c r="N29" s="83">
        <f t="shared" si="4"/>
        <v>0</v>
      </c>
      <c r="O29" s="74">
        <f t="shared" si="5"/>
        <v>14</v>
      </c>
      <c r="P29" s="75">
        <f t="shared" si="6"/>
        <v>1</v>
      </c>
      <c r="Q29" s="6"/>
    </row>
    <row r="30" spans="1:17" ht="11.25" customHeight="1" x14ac:dyDescent="0.4">
      <c r="A30" s="54"/>
      <c r="B30" s="54" t="s">
        <v>313</v>
      </c>
      <c r="C30" s="86">
        <f>SUM('By Area'!C56)</f>
        <v>4</v>
      </c>
      <c r="D30" s="74">
        <f>SUM('By Area'!D56)</f>
        <v>1</v>
      </c>
      <c r="E30" s="74">
        <f>SUM('By Area'!E56)</f>
        <v>1</v>
      </c>
      <c r="F30" s="74">
        <f>SUM('By Area'!F56)</f>
        <v>1</v>
      </c>
      <c r="G30" s="74">
        <f>SUM('By Area'!G56)</f>
        <v>1</v>
      </c>
      <c r="H30" s="74">
        <f>SUM('By Area'!H56)</f>
        <v>0</v>
      </c>
      <c r="I30" s="74">
        <f>SUM('By Area'!I56)</f>
        <v>0</v>
      </c>
      <c r="J30" s="74">
        <f>SUM('By Area'!J56)</f>
        <v>0</v>
      </c>
      <c r="K30" s="74">
        <f>SUM('By Area'!K56)</f>
        <v>0</v>
      </c>
      <c r="L30" s="74">
        <f>SUM('By Area'!L56)</f>
        <v>0</v>
      </c>
      <c r="M30" s="74">
        <f>SUM('By Area'!M56)</f>
        <v>0</v>
      </c>
      <c r="N30" s="83">
        <f t="shared" si="4"/>
        <v>0</v>
      </c>
      <c r="O30" s="74">
        <f t="shared" si="5"/>
        <v>4</v>
      </c>
      <c r="P30" s="75">
        <f t="shared" si="6"/>
        <v>1</v>
      </c>
      <c r="Q30" s="6"/>
    </row>
    <row r="31" spans="1:17" ht="11.25" customHeight="1" x14ac:dyDescent="0.4">
      <c r="A31" s="87"/>
      <c r="B31" s="70" t="s">
        <v>314</v>
      </c>
      <c r="C31" s="88">
        <f t="shared" ref="C31:M31" si="7">SUM(C21:C30)</f>
        <v>1933</v>
      </c>
      <c r="D31" s="89">
        <f t="shared" si="7"/>
        <v>768</v>
      </c>
      <c r="E31" s="89">
        <f t="shared" si="7"/>
        <v>527</v>
      </c>
      <c r="F31" s="89">
        <f t="shared" si="7"/>
        <v>423</v>
      </c>
      <c r="G31" s="89">
        <f t="shared" si="7"/>
        <v>432</v>
      </c>
      <c r="H31" s="89">
        <f t="shared" si="7"/>
        <v>455</v>
      </c>
      <c r="I31" s="89">
        <f t="shared" si="7"/>
        <v>454</v>
      </c>
      <c r="J31" s="89">
        <f t="shared" si="7"/>
        <v>453</v>
      </c>
      <c r="K31" s="89">
        <f t="shared" si="7"/>
        <v>550</v>
      </c>
      <c r="L31" s="89">
        <f t="shared" si="7"/>
        <v>825</v>
      </c>
      <c r="M31" s="89">
        <f t="shared" si="7"/>
        <v>1095</v>
      </c>
      <c r="N31" s="90">
        <f t="shared" si="4"/>
        <v>423</v>
      </c>
      <c r="O31" s="89">
        <f t="shared" si="5"/>
        <v>1510</v>
      </c>
      <c r="P31" s="91">
        <f t="shared" si="6"/>
        <v>0.78116916709777551</v>
      </c>
      <c r="Q31" s="6"/>
    </row>
    <row r="32" spans="1:17" ht="11.25" customHeigh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3" ht="15.75" customHeight="1" x14ac:dyDescent="0.4"/>
    <row r="34" spans="1:3" ht="15.75" customHeight="1" x14ac:dyDescent="0.4">
      <c r="A34" s="92" t="s">
        <v>317</v>
      </c>
      <c r="B34" s="93"/>
      <c r="C34" s="94" t="s">
        <v>318</v>
      </c>
    </row>
    <row r="35" spans="1:3" ht="15.75" customHeight="1" x14ac:dyDescent="0.4">
      <c r="A35" s="95">
        <f>'University-wide'!C20</f>
        <v>18478</v>
      </c>
      <c r="B35" s="70" t="s">
        <v>319</v>
      </c>
      <c r="C35" s="95">
        <f>SUM(C20,C31)</f>
        <v>18478</v>
      </c>
    </row>
    <row r="36" spans="1:3" ht="15.75" customHeight="1" x14ac:dyDescent="0.4"/>
    <row r="37" spans="1:3" ht="15.75" customHeight="1" x14ac:dyDescent="0.4"/>
    <row r="38" spans="1:3" ht="15.75" customHeight="1" x14ac:dyDescent="0.4"/>
    <row r="39" spans="1:3" ht="15.75" customHeight="1" x14ac:dyDescent="0.4"/>
    <row r="40" spans="1:3" ht="15.75" customHeight="1" x14ac:dyDescent="0.4"/>
    <row r="41" spans="1:3" ht="15.75" customHeight="1" x14ac:dyDescent="0.4"/>
    <row r="42" spans="1:3" ht="15.75" customHeight="1" x14ac:dyDescent="0.4"/>
    <row r="43" spans="1:3" ht="15.75" customHeight="1" x14ac:dyDescent="0.4"/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8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 x14ac:dyDescent="0.4"/>
  <cols>
    <col min="1" max="1" width="11.453125" customWidth="1"/>
    <col min="2" max="2" width="12" customWidth="1"/>
    <col min="3" max="3" width="7" customWidth="1"/>
    <col min="4" max="5" width="5" customWidth="1"/>
    <col min="6" max="7" width="4.81640625" customWidth="1"/>
    <col min="8" max="8" width="5.1796875" customWidth="1"/>
    <col min="9" max="12" width="4.816406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32" t="str">
        <f>'University-wide'!A1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</row>
    <row r="2" spans="1:17" ht="14.25" customHeight="1" x14ac:dyDescent="0.4">
      <c r="A2" s="532" t="s">
        <v>320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</row>
    <row r="3" spans="1:17" ht="11.25" customHeight="1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</row>
    <row r="4" spans="1:17" ht="11.25" customHeight="1" x14ac:dyDescent="0.4">
      <c r="A4" s="42" t="s">
        <v>6</v>
      </c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</row>
    <row r="5" spans="1:17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</row>
    <row r="6" spans="1:17" ht="11.25" customHeight="1" x14ac:dyDescent="0.4">
      <c r="A6" s="50"/>
      <c r="B6" s="50"/>
      <c r="C6" s="50"/>
      <c r="D6" s="51" t="s">
        <v>298</v>
      </c>
      <c r="E6" s="52" t="s">
        <v>298</v>
      </c>
      <c r="F6" s="52" t="s">
        <v>298</v>
      </c>
      <c r="G6" s="52" t="s">
        <v>298</v>
      </c>
      <c r="H6" s="52" t="s">
        <v>299</v>
      </c>
      <c r="I6" s="52" t="s">
        <v>299</v>
      </c>
      <c r="J6" s="52" t="s">
        <v>299</v>
      </c>
      <c r="K6" s="52" t="s">
        <v>299</v>
      </c>
      <c r="L6" s="52" t="s">
        <v>299</v>
      </c>
      <c r="M6" s="53" t="s">
        <v>299</v>
      </c>
      <c r="N6" s="51" t="s">
        <v>284</v>
      </c>
      <c r="O6" s="52" t="s">
        <v>284</v>
      </c>
      <c r="P6" s="53" t="s">
        <v>296</v>
      </c>
      <c r="Q6" s="6"/>
    </row>
    <row r="7" spans="1:17" ht="11.25" customHeight="1" x14ac:dyDescent="0.4">
      <c r="A7" s="15" t="s">
        <v>321</v>
      </c>
      <c r="B7" s="17" t="s">
        <v>300</v>
      </c>
      <c r="C7" s="27"/>
      <c r="D7" s="32"/>
      <c r="E7" s="6"/>
      <c r="F7" s="6"/>
      <c r="G7" s="6"/>
      <c r="H7" s="6"/>
      <c r="I7" s="6"/>
      <c r="J7" s="6"/>
      <c r="K7" s="6"/>
      <c r="L7" s="6"/>
      <c r="M7" s="31"/>
      <c r="N7" s="32"/>
      <c r="O7" s="6"/>
      <c r="P7" s="59"/>
      <c r="Q7" s="6"/>
    </row>
    <row r="8" spans="1:17" ht="11.25" customHeight="1" x14ac:dyDescent="0.4">
      <c r="A8" s="17" t="s">
        <v>322</v>
      </c>
      <c r="B8" s="17" t="s">
        <v>301</v>
      </c>
      <c r="C8" s="27">
        <f>SUM('By Neighborhood'!C8,'By Neighborhood'!C19,'By Neighborhood'!C30,'By Neighborhood'!C41)</f>
        <v>12</v>
      </c>
      <c r="D8" s="32">
        <f>SUM('By Neighborhood'!D8,'By Neighborhood'!D19,'By Neighborhood'!D30,'By Neighborhood'!D41)</f>
        <v>6</v>
      </c>
      <c r="E8" s="6">
        <f>SUM('By Neighborhood'!E8,'By Neighborhood'!E19,'By Neighborhood'!E30,'By Neighborhood'!E41)</f>
        <v>2</v>
      </c>
      <c r="F8" s="6">
        <f>SUM('By Neighborhood'!F8,'By Neighborhood'!F19,'By Neighborhood'!F30,'By Neighborhood'!F41)</f>
        <v>0</v>
      </c>
      <c r="G8" s="6">
        <f>SUM('By Neighborhood'!G8,'By Neighborhood'!G19,'By Neighborhood'!G30,'By Neighborhood'!G41)</f>
        <v>0</v>
      </c>
      <c r="H8" s="6">
        <f>SUM('By Neighborhood'!H8,'By Neighborhood'!H19,'By Neighborhood'!H30,'By Neighborhood'!H41)</f>
        <v>1</v>
      </c>
      <c r="I8" s="6">
        <f>SUM('By Neighborhood'!I8,'By Neighborhood'!I19,'By Neighborhood'!I30,'By Neighborhood'!I41)</f>
        <v>1</v>
      </c>
      <c r="J8" s="6">
        <f>SUM('By Neighborhood'!J8,'By Neighborhood'!J19,'By Neighborhood'!J30,'By Neighborhood'!J41)</f>
        <v>0</v>
      </c>
      <c r="K8" s="6">
        <f>SUM('By Neighborhood'!K8,'By Neighborhood'!K19,'By Neighborhood'!K30,'By Neighborhood'!K41)</f>
        <v>1</v>
      </c>
      <c r="L8" s="6">
        <f>SUM('By Neighborhood'!L8,'By Neighborhood'!L19,'By Neighborhood'!L30,'By Neighborhood'!L41)</f>
        <v>1</v>
      </c>
      <c r="M8" s="31">
        <f>SUM('By Neighborhood'!M8,'By Neighborhood'!M19,'By Neighborhood'!M30,'By Neighborhood'!M41)</f>
        <v>1</v>
      </c>
      <c r="N8" s="32">
        <f t="shared" ref="N8:N37" si="0">MIN(D8:M8)</f>
        <v>0</v>
      </c>
      <c r="O8" s="58">
        <f t="shared" ref="O8:O37" si="1">C8-N8</f>
        <v>12</v>
      </c>
      <c r="P8" s="59">
        <f>O8/C8</f>
        <v>1</v>
      </c>
      <c r="Q8" s="6"/>
    </row>
    <row r="9" spans="1:17" ht="11.25" customHeight="1" x14ac:dyDescent="0.4">
      <c r="A9" s="17" t="s">
        <v>11</v>
      </c>
      <c r="B9" s="17" t="s">
        <v>303</v>
      </c>
      <c r="C9" s="96">
        <f>SUM('By Neighborhood'!C9,'By Neighborhood'!C20,'By Neighborhood'!C31,'By Neighborhood'!C42)</f>
        <v>0</v>
      </c>
      <c r="D9" s="97">
        <f>SUM('By Neighborhood'!D9,'By Neighborhood'!D20,'By Neighborhood'!D31,'By Neighborhood'!D42)</f>
        <v>0</v>
      </c>
      <c r="E9" s="98">
        <f>SUM('By Neighborhood'!E9,'By Neighborhood'!E20,'By Neighborhood'!E31,'By Neighborhood'!E42)</f>
        <v>0</v>
      </c>
      <c r="F9" s="98">
        <f>SUM('By Neighborhood'!F9,'By Neighborhood'!F20,'By Neighborhood'!F31,'By Neighborhood'!F42)</f>
        <v>0</v>
      </c>
      <c r="G9" s="98">
        <f>SUM('By Neighborhood'!G9,'By Neighborhood'!G20,'By Neighborhood'!G31,'By Neighborhood'!G42)</f>
        <v>0</v>
      </c>
      <c r="H9" s="98">
        <f>SUM('By Neighborhood'!H9,'By Neighborhood'!H20,'By Neighborhood'!H31,'By Neighborhood'!H42)</f>
        <v>0</v>
      </c>
      <c r="I9" s="98">
        <f>SUM('By Neighborhood'!I9,'By Neighborhood'!I20,'By Neighborhood'!I31,'By Neighborhood'!I42)</f>
        <v>0</v>
      </c>
      <c r="J9" s="98">
        <f>SUM('By Neighborhood'!J9,'By Neighborhood'!J20,'By Neighborhood'!J31,'By Neighborhood'!J42)</f>
        <v>0</v>
      </c>
      <c r="K9" s="98">
        <f>SUM('By Neighborhood'!K9,'By Neighborhood'!K20,'By Neighborhood'!K31,'By Neighborhood'!K42)</f>
        <v>0</v>
      </c>
      <c r="L9" s="98">
        <f>SUM('By Neighborhood'!L9,'By Neighborhood'!L20,'By Neighborhood'!L31,'By Neighborhood'!L42)</f>
        <v>0</v>
      </c>
      <c r="M9" s="99">
        <f>SUM('By Neighborhood'!M9,'By Neighborhood'!M20,'By Neighborhood'!M31,'By Neighborhood'!M42)</f>
        <v>0</v>
      </c>
      <c r="N9" s="97">
        <f t="shared" si="0"/>
        <v>0</v>
      </c>
      <c r="O9" s="100">
        <f t="shared" si="1"/>
        <v>0</v>
      </c>
      <c r="P9" s="59"/>
      <c r="Q9" s="6"/>
    </row>
    <row r="10" spans="1:17" ht="11.25" customHeight="1" x14ac:dyDescent="0.4">
      <c r="A10" s="17" t="s">
        <v>13</v>
      </c>
      <c r="B10" s="17" t="s">
        <v>307</v>
      </c>
      <c r="C10" s="27">
        <f>SUM('By Neighborhood'!C10,'By Neighborhood'!C21,'By Neighborhood'!C32,'By Neighborhood'!C43)</f>
        <v>4</v>
      </c>
      <c r="D10" s="32">
        <f>SUM('By Neighborhood'!D10,'By Neighborhood'!D21,'By Neighborhood'!D32,'By Neighborhood'!D43)</f>
        <v>4</v>
      </c>
      <c r="E10" s="6">
        <f>SUM('By Neighborhood'!E10,'By Neighborhood'!E21,'By Neighborhood'!E32,'By Neighborhood'!E43)</f>
        <v>4</v>
      </c>
      <c r="F10" s="6">
        <f>SUM('By Neighborhood'!F10,'By Neighborhood'!F21,'By Neighborhood'!F32,'By Neighborhood'!F43)</f>
        <v>3</v>
      </c>
      <c r="G10" s="6">
        <f>SUM('By Neighborhood'!G10,'By Neighborhood'!G21,'By Neighborhood'!G32,'By Neighborhood'!G43)</f>
        <v>3</v>
      </c>
      <c r="H10" s="6">
        <f>SUM('By Neighborhood'!H10,'By Neighborhood'!H21,'By Neighborhood'!H32,'By Neighborhood'!H43)</f>
        <v>3</v>
      </c>
      <c r="I10" s="6">
        <f>SUM('By Neighborhood'!I10,'By Neighborhood'!I21,'By Neighborhood'!I32,'By Neighborhood'!I43)</f>
        <v>3</v>
      </c>
      <c r="J10" s="6">
        <f>SUM('By Neighborhood'!J10,'By Neighborhood'!J21,'By Neighborhood'!J32,'By Neighborhood'!J43)</f>
        <v>3</v>
      </c>
      <c r="K10" s="6">
        <f>SUM('By Neighborhood'!K10,'By Neighborhood'!K21,'By Neighborhood'!K32,'By Neighborhood'!K43)</f>
        <v>3</v>
      </c>
      <c r="L10" s="6">
        <f>SUM('By Neighborhood'!L10,'By Neighborhood'!L21,'By Neighborhood'!L32,'By Neighborhood'!L43)</f>
        <v>4</v>
      </c>
      <c r="M10" s="31">
        <f>SUM('By Neighborhood'!M10,'By Neighborhood'!M21,'By Neighborhood'!M32,'By Neighborhood'!M43)</f>
        <v>4</v>
      </c>
      <c r="N10" s="32">
        <f t="shared" si="0"/>
        <v>3</v>
      </c>
      <c r="O10" s="58">
        <f t="shared" si="1"/>
        <v>1</v>
      </c>
      <c r="P10" s="59">
        <f t="shared" ref="P10:P37" si="2">O10/C10</f>
        <v>0.25</v>
      </c>
      <c r="Q10" s="6"/>
    </row>
    <row r="11" spans="1:17" ht="11.25" customHeight="1" x14ac:dyDescent="0.4">
      <c r="A11" s="17"/>
      <c r="B11" s="17" t="s">
        <v>308</v>
      </c>
      <c r="C11" s="27">
        <f>SUM('By Neighborhood'!C11,'By Neighborhood'!C22,'By Neighborhood'!C33,'By Neighborhood'!C44)</f>
        <v>2</v>
      </c>
      <c r="D11" s="32">
        <f>SUM('By Neighborhood'!D11,'By Neighborhood'!D22,'By Neighborhood'!D33,'By Neighborhood'!D44)</f>
        <v>1</v>
      </c>
      <c r="E11" s="6">
        <f>SUM('By Neighborhood'!E11,'By Neighborhood'!E22,'By Neighborhood'!E33,'By Neighborhood'!E44)</f>
        <v>1</v>
      </c>
      <c r="F11" s="6">
        <f>SUM('By Neighborhood'!F11,'By Neighborhood'!F22,'By Neighborhood'!F33,'By Neighborhood'!F44)</f>
        <v>0</v>
      </c>
      <c r="G11" s="6">
        <f>SUM('By Neighborhood'!G11,'By Neighborhood'!G22,'By Neighborhood'!G33,'By Neighborhood'!G44)</f>
        <v>0</v>
      </c>
      <c r="H11" s="6">
        <f>SUM('By Neighborhood'!H11,'By Neighborhood'!H22,'By Neighborhood'!H33,'By Neighborhood'!H44)</f>
        <v>0</v>
      </c>
      <c r="I11" s="6">
        <f>SUM('By Neighborhood'!I11,'By Neighborhood'!I22,'By Neighborhood'!I33,'By Neighborhood'!I44)</f>
        <v>0</v>
      </c>
      <c r="J11" s="6">
        <f>SUM('By Neighborhood'!J11,'By Neighborhood'!J22,'By Neighborhood'!J33,'By Neighborhood'!J44)</f>
        <v>0</v>
      </c>
      <c r="K11" s="6">
        <f>SUM('By Neighborhood'!K11,'By Neighborhood'!K22,'By Neighborhood'!K33,'By Neighborhood'!K44)</f>
        <v>0</v>
      </c>
      <c r="L11" s="6">
        <f>SUM('By Neighborhood'!L11,'By Neighborhood'!L22,'By Neighborhood'!L33,'By Neighborhood'!L44)</f>
        <v>0</v>
      </c>
      <c r="M11" s="31">
        <f>SUM('By Neighborhood'!M11,'By Neighborhood'!M22,'By Neighborhood'!M33,'By Neighborhood'!M44)</f>
        <v>0</v>
      </c>
      <c r="N11" s="32">
        <f t="shared" si="0"/>
        <v>0</v>
      </c>
      <c r="O11" s="58">
        <f t="shared" si="1"/>
        <v>2</v>
      </c>
      <c r="P11" s="59">
        <f t="shared" si="2"/>
        <v>1</v>
      </c>
      <c r="Q11" s="6"/>
    </row>
    <row r="12" spans="1:17" ht="11.25" customHeight="1" x14ac:dyDescent="0.4">
      <c r="A12" s="17"/>
      <c r="B12" s="17" t="s">
        <v>309</v>
      </c>
      <c r="C12" s="27">
        <f>SUM('By Neighborhood'!C12,'By Neighborhood'!C23,'By Neighborhood'!C34,'By Neighborhood'!C45)</f>
        <v>712</v>
      </c>
      <c r="D12" s="32">
        <f>SUM('By Neighborhood'!D12,'By Neighborhood'!D23,'By Neighborhood'!D34,'By Neighborhood'!D45)</f>
        <v>591</v>
      </c>
      <c r="E12" s="6">
        <f>SUM('By Neighborhood'!E12,'By Neighborhood'!E23,'By Neighborhood'!E34,'By Neighborhood'!E45)</f>
        <v>491</v>
      </c>
      <c r="F12" s="6">
        <f>SUM('By Neighborhood'!F12,'By Neighborhood'!F23,'By Neighborhood'!F34,'By Neighborhood'!F45)</f>
        <v>317</v>
      </c>
      <c r="G12" s="6">
        <f>SUM('By Neighborhood'!G12,'By Neighborhood'!G23,'By Neighborhood'!G34,'By Neighborhood'!G45)</f>
        <v>209</v>
      </c>
      <c r="H12" s="6">
        <f>SUM('By Neighborhood'!H12,'By Neighborhood'!H23,'By Neighborhood'!H34,'By Neighborhood'!H45)</f>
        <v>198</v>
      </c>
      <c r="I12" s="6">
        <f>SUM('By Neighborhood'!I12,'By Neighborhood'!I23,'By Neighborhood'!I34,'By Neighborhood'!I45)</f>
        <v>173</v>
      </c>
      <c r="J12" s="6">
        <f>SUM('By Neighborhood'!J12,'By Neighborhood'!J23,'By Neighborhood'!J34,'By Neighborhood'!J45)</f>
        <v>192</v>
      </c>
      <c r="K12" s="6">
        <f>SUM('By Neighborhood'!K12,'By Neighborhood'!K23,'By Neighborhood'!K34,'By Neighborhood'!K45)</f>
        <v>228</v>
      </c>
      <c r="L12" s="6">
        <f>SUM('By Neighborhood'!L12,'By Neighborhood'!L23,'By Neighborhood'!L34,'By Neighborhood'!L45)</f>
        <v>320</v>
      </c>
      <c r="M12" s="31">
        <f>SUM('By Neighborhood'!M12,'By Neighborhood'!M23,'By Neighborhood'!M34,'By Neighborhood'!M45)</f>
        <v>436</v>
      </c>
      <c r="N12" s="32">
        <f t="shared" si="0"/>
        <v>173</v>
      </c>
      <c r="O12" s="58">
        <f t="shared" si="1"/>
        <v>539</v>
      </c>
      <c r="P12" s="59">
        <f t="shared" si="2"/>
        <v>0.7570224719101124</v>
      </c>
      <c r="Q12" s="6"/>
    </row>
    <row r="13" spans="1:17" ht="11.25" customHeight="1" x14ac:dyDescent="0.4">
      <c r="A13" s="17"/>
      <c r="B13" s="17" t="s">
        <v>310</v>
      </c>
      <c r="C13" s="27">
        <f>SUM('By Neighborhood'!C13,'By Neighborhood'!C24,'By Neighborhood'!C35,'By Neighborhood'!C46)</f>
        <v>31</v>
      </c>
      <c r="D13" s="32">
        <f>SUM('By Neighborhood'!D13,'By Neighborhood'!D24,'By Neighborhood'!D35,'By Neighborhood'!D46)</f>
        <v>30</v>
      </c>
      <c r="E13" s="6">
        <f>SUM('By Neighborhood'!E13,'By Neighborhood'!E24,'By Neighborhood'!E35,'By Neighborhood'!E46)</f>
        <v>28</v>
      </c>
      <c r="F13" s="6">
        <f>SUM('By Neighborhood'!F13,'By Neighborhood'!F24,'By Neighborhood'!F35,'By Neighborhood'!F46)</f>
        <v>25</v>
      </c>
      <c r="G13" s="6">
        <f>SUM('By Neighborhood'!G13,'By Neighborhood'!G24,'By Neighborhood'!G35,'By Neighborhood'!G46)</f>
        <v>25</v>
      </c>
      <c r="H13" s="6">
        <f>SUM('By Neighborhood'!H13,'By Neighborhood'!H24,'By Neighborhood'!H35,'By Neighborhood'!H46)</f>
        <v>26</v>
      </c>
      <c r="I13" s="6">
        <f>SUM('By Neighborhood'!I13,'By Neighborhood'!I24,'By Neighborhood'!I35,'By Neighborhood'!I46)</f>
        <v>18</v>
      </c>
      <c r="J13" s="6">
        <f>SUM('By Neighborhood'!J13,'By Neighborhood'!J24,'By Neighborhood'!J35,'By Neighborhood'!J46)</f>
        <v>19</v>
      </c>
      <c r="K13" s="6">
        <f>SUM('By Neighborhood'!K13,'By Neighborhood'!K24,'By Neighborhood'!K35,'By Neighborhood'!K46)</f>
        <v>25</v>
      </c>
      <c r="L13" s="6">
        <f>SUM('By Neighborhood'!L13,'By Neighborhood'!L24,'By Neighborhood'!L35,'By Neighborhood'!L46)</f>
        <v>24</v>
      </c>
      <c r="M13" s="31">
        <f>SUM('By Neighborhood'!M13,'By Neighborhood'!M24,'By Neighborhood'!M35,'By Neighborhood'!M46)</f>
        <v>24</v>
      </c>
      <c r="N13" s="32">
        <f t="shared" si="0"/>
        <v>18</v>
      </c>
      <c r="O13" s="58">
        <f t="shared" si="1"/>
        <v>13</v>
      </c>
      <c r="P13" s="59">
        <f t="shared" si="2"/>
        <v>0.41935483870967744</v>
      </c>
      <c r="Q13" s="6"/>
    </row>
    <row r="14" spans="1:17" ht="11.25" customHeight="1" x14ac:dyDescent="0.4">
      <c r="A14" s="17"/>
      <c r="B14" s="17" t="s">
        <v>311</v>
      </c>
      <c r="C14" s="27">
        <f>SUM('By Neighborhood'!C14,'By Neighborhood'!C25,'By Neighborhood'!C36,'By Neighborhood'!C47)</f>
        <v>8</v>
      </c>
      <c r="D14" s="32">
        <f>SUM('By Neighborhood'!D14,'By Neighborhood'!D25,'By Neighborhood'!D36,'By Neighborhood'!D47)</f>
        <v>3</v>
      </c>
      <c r="E14" s="6">
        <f>SUM('By Neighborhood'!E14,'By Neighborhood'!E25,'By Neighborhood'!E36,'By Neighborhood'!E47)</f>
        <v>3</v>
      </c>
      <c r="F14" s="6">
        <f>SUM('By Neighborhood'!F14,'By Neighborhood'!F25,'By Neighborhood'!F36,'By Neighborhood'!F47)</f>
        <v>4</v>
      </c>
      <c r="G14" s="6">
        <f>SUM('By Neighborhood'!G14,'By Neighborhood'!G25,'By Neighborhood'!G36,'By Neighborhood'!G47)</f>
        <v>3</v>
      </c>
      <c r="H14" s="6">
        <f>SUM('By Neighborhood'!H14,'By Neighborhood'!H25,'By Neighborhood'!H36,'By Neighborhood'!H47)</f>
        <v>3</v>
      </c>
      <c r="I14" s="6">
        <f>SUM('By Neighborhood'!I14,'By Neighborhood'!I25,'By Neighborhood'!I36,'By Neighborhood'!I47)</f>
        <v>1</v>
      </c>
      <c r="J14" s="6">
        <f>SUM('By Neighborhood'!J14,'By Neighborhood'!J25,'By Neighborhood'!J36,'By Neighborhood'!J47)</f>
        <v>2</v>
      </c>
      <c r="K14" s="6">
        <f>SUM('By Neighborhood'!K14,'By Neighborhood'!K25,'By Neighborhood'!K36,'By Neighborhood'!K47)</f>
        <v>2</v>
      </c>
      <c r="L14" s="6">
        <f>SUM('By Neighborhood'!L14,'By Neighborhood'!L25,'By Neighborhood'!L36,'By Neighborhood'!L47)</f>
        <v>2</v>
      </c>
      <c r="M14" s="31">
        <f>SUM('By Neighborhood'!M14,'By Neighborhood'!M25,'By Neighborhood'!M36,'By Neighborhood'!M47)</f>
        <v>2</v>
      </c>
      <c r="N14" s="32">
        <f t="shared" si="0"/>
        <v>1</v>
      </c>
      <c r="O14" s="58">
        <f t="shared" si="1"/>
        <v>7</v>
      </c>
      <c r="P14" s="59">
        <f t="shared" si="2"/>
        <v>0.875</v>
      </c>
      <c r="Q14" s="6"/>
    </row>
    <row r="15" spans="1:17" ht="11.25" customHeight="1" x14ac:dyDescent="0.4">
      <c r="A15" s="17"/>
      <c r="B15" s="17" t="s">
        <v>312</v>
      </c>
      <c r="C15" s="27">
        <f>SUM('By Neighborhood'!C15,'By Neighborhood'!C26,'By Neighborhood'!C37,'By Neighborhood'!C48)</f>
        <v>3</v>
      </c>
      <c r="D15" s="32">
        <f>SUM('By Neighborhood'!D15,'By Neighborhood'!D26,'By Neighborhood'!D37,'By Neighborhood'!D48)</f>
        <v>1</v>
      </c>
      <c r="E15" s="6">
        <f>SUM('By Neighborhood'!E15,'By Neighborhood'!E26,'By Neighborhood'!E37,'By Neighborhood'!E48)</f>
        <v>0</v>
      </c>
      <c r="F15" s="6">
        <f>SUM('By Neighborhood'!F15,'By Neighborhood'!F26,'By Neighborhood'!F37,'By Neighborhood'!F48)</f>
        <v>0</v>
      </c>
      <c r="G15" s="6">
        <f>SUM('By Neighborhood'!G15,'By Neighborhood'!G26,'By Neighborhood'!G37,'By Neighborhood'!G48)</f>
        <v>2</v>
      </c>
      <c r="H15" s="6">
        <f>SUM('By Neighborhood'!H15,'By Neighborhood'!H26,'By Neighborhood'!H37,'By Neighborhood'!H48)</f>
        <v>0</v>
      </c>
      <c r="I15" s="6">
        <f>SUM('By Neighborhood'!I15,'By Neighborhood'!I26,'By Neighborhood'!I37,'By Neighborhood'!I48)</f>
        <v>1</v>
      </c>
      <c r="J15" s="6">
        <f>SUM('By Neighborhood'!J15,'By Neighborhood'!J26,'By Neighborhood'!J37,'By Neighborhood'!J48)</f>
        <v>1</v>
      </c>
      <c r="K15" s="6">
        <f>SUM('By Neighborhood'!K15,'By Neighborhood'!K26,'By Neighborhood'!K37,'By Neighborhood'!K48)</f>
        <v>2</v>
      </c>
      <c r="L15" s="6">
        <f>SUM('By Neighborhood'!L15,'By Neighborhood'!L26,'By Neighborhood'!L37,'By Neighborhood'!L48)</f>
        <v>2</v>
      </c>
      <c r="M15" s="31">
        <f>SUM('By Neighborhood'!M15,'By Neighborhood'!M26,'By Neighborhood'!M37,'By Neighborhood'!M48)</f>
        <v>2</v>
      </c>
      <c r="N15" s="32">
        <f t="shared" si="0"/>
        <v>0</v>
      </c>
      <c r="O15" s="58">
        <f t="shared" si="1"/>
        <v>3</v>
      </c>
      <c r="P15" s="59">
        <f t="shared" si="2"/>
        <v>1</v>
      </c>
      <c r="Q15" s="6"/>
    </row>
    <row r="16" spans="1:17" ht="11.25" customHeight="1" x14ac:dyDescent="0.4">
      <c r="A16" s="17"/>
      <c r="B16" s="17" t="s">
        <v>313</v>
      </c>
      <c r="C16" s="27">
        <f>SUM('By Neighborhood'!C16,'By Neighborhood'!C27,'By Neighborhood'!C38,'By Neighborhood'!C49)</f>
        <v>14</v>
      </c>
      <c r="D16" s="32">
        <f>SUM('By Neighborhood'!D16,'By Neighborhood'!D27,'By Neighborhood'!D38,'By Neighborhood'!D49)</f>
        <v>10</v>
      </c>
      <c r="E16" s="6">
        <f>SUM('By Neighborhood'!E16,'By Neighborhood'!E27,'By Neighborhood'!E38,'By Neighborhood'!E49)</f>
        <v>8</v>
      </c>
      <c r="F16" s="6">
        <f>SUM('By Neighborhood'!F16,'By Neighborhood'!F27,'By Neighborhood'!F38,'By Neighborhood'!F49)</f>
        <v>8</v>
      </c>
      <c r="G16" s="6">
        <f>SUM('By Neighborhood'!G16,'By Neighborhood'!G27,'By Neighborhood'!G38,'By Neighborhood'!G49)</f>
        <v>7</v>
      </c>
      <c r="H16" s="6">
        <f>SUM('By Neighborhood'!H16,'By Neighborhood'!H27,'By Neighborhood'!H38,'By Neighborhood'!H49)</f>
        <v>10</v>
      </c>
      <c r="I16" s="6">
        <f>SUM('By Neighborhood'!I16,'By Neighborhood'!I27,'By Neighborhood'!I38,'By Neighborhood'!I49)</f>
        <v>6</v>
      </c>
      <c r="J16" s="6">
        <f>SUM('By Neighborhood'!J16,'By Neighborhood'!J27,'By Neighborhood'!J38,'By Neighborhood'!J49)</f>
        <v>9</v>
      </c>
      <c r="K16" s="6">
        <f>SUM('By Neighborhood'!K16,'By Neighborhood'!K27,'By Neighborhood'!K38,'By Neighborhood'!K49)</f>
        <v>9</v>
      </c>
      <c r="L16" s="6">
        <f>SUM('By Neighborhood'!L16,'By Neighborhood'!L27,'By Neighborhood'!L38,'By Neighborhood'!L49)</f>
        <v>10</v>
      </c>
      <c r="M16" s="31">
        <f>SUM('By Neighborhood'!M16,'By Neighborhood'!M27,'By Neighborhood'!M38,'By Neighborhood'!M49)</f>
        <v>10</v>
      </c>
      <c r="N16" s="32">
        <f t="shared" si="0"/>
        <v>6</v>
      </c>
      <c r="O16" s="58">
        <f t="shared" si="1"/>
        <v>8</v>
      </c>
      <c r="P16" s="59">
        <f t="shared" si="2"/>
        <v>0.5714285714285714</v>
      </c>
      <c r="Q16" s="6"/>
    </row>
    <row r="17" spans="1:18" ht="11.25" customHeight="1" x14ac:dyDescent="0.4">
      <c r="A17" s="34"/>
      <c r="B17" s="65" t="s">
        <v>314</v>
      </c>
      <c r="C17" s="66">
        <f t="shared" ref="C17:M17" si="3">SUM(C7:C16)</f>
        <v>786</v>
      </c>
      <c r="D17" s="101">
        <f t="shared" si="3"/>
        <v>646</v>
      </c>
      <c r="E17" s="102">
        <f t="shared" si="3"/>
        <v>537</v>
      </c>
      <c r="F17" s="102">
        <f t="shared" si="3"/>
        <v>357</v>
      </c>
      <c r="G17" s="102">
        <f t="shared" si="3"/>
        <v>249</v>
      </c>
      <c r="H17" s="102">
        <f t="shared" si="3"/>
        <v>241</v>
      </c>
      <c r="I17" s="102">
        <f t="shared" si="3"/>
        <v>203</v>
      </c>
      <c r="J17" s="102">
        <f t="shared" si="3"/>
        <v>226</v>
      </c>
      <c r="K17" s="102">
        <f t="shared" si="3"/>
        <v>270</v>
      </c>
      <c r="L17" s="102">
        <f t="shared" si="3"/>
        <v>363</v>
      </c>
      <c r="M17" s="103">
        <f t="shared" si="3"/>
        <v>479</v>
      </c>
      <c r="N17" s="104">
        <f t="shared" si="0"/>
        <v>203</v>
      </c>
      <c r="O17" s="71">
        <f t="shared" si="1"/>
        <v>583</v>
      </c>
      <c r="P17" s="72">
        <f t="shared" si="2"/>
        <v>0.74173027989821882</v>
      </c>
      <c r="Q17" s="6"/>
    </row>
    <row r="18" spans="1:18" ht="11.25" customHeight="1" x14ac:dyDescent="0.4">
      <c r="A18" s="15" t="s">
        <v>8</v>
      </c>
      <c r="B18" s="17" t="s">
        <v>300</v>
      </c>
      <c r="C18" s="54">
        <f>SUM('By Neighborhood'!C62+'By Neighborhood'!C75+'By Neighborhood'!C86+'By Neighborhood'!C97+'By Neighborhood'!C109+'By Neighborhood'!C132+'By Neighborhood'!C144+'By Neighborhood'!C155+'By Neighborhood'!C167+'By Neighborhood'!C179)</f>
        <v>1653</v>
      </c>
      <c r="D18" s="55">
        <f>SUM('By Neighborhood'!D62+'By Neighborhood'!D75+'By Neighborhood'!D86+'By Neighborhood'!D97+'By Neighborhood'!D109+'By Neighborhood'!D132+'By Neighborhood'!D144+'By Neighborhood'!D155+'By Neighborhood'!D167+'By Neighborhood'!D179)</f>
        <v>839</v>
      </c>
      <c r="E18" s="56">
        <f>SUM('By Neighborhood'!E62+'By Neighborhood'!E75+'By Neighborhood'!E86+'By Neighborhood'!E97+'By Neighborhood'!E109+'By Neighborhood'!E132+'By Neighborhood'!E144+'By Neighborhood'!E155+'By Neighborhood'!E167+'By Neighborhood'!E179)</f>
        <v>306</v>
      </c>
      <c r="F18" s="56">
        <f>SUM('By Neighborhood'!F62+'By Neighborhood'!F75+'By Neighborhood'!F86+'By Neighborhood'!F97+'By Neighborhood'!F109+'By Neighborhood'!F132+'By Neighborhood'!F144+'By Neighborhood'!F155+'By Neighborhood'!F167+'By Neighborhood'!F179)</f>
        <v>142</v>
      </c>
      <c r="G18" s="56">
        <f>SUM('By Neighborhood'!G62+'By Neighborhood'!G75+'By Neighborhood'!G86+'By Neighborhood'!G97+'By Neighborhood'!G109+'By Neighborhood'!G132+'By Neighborhood'!G144+'By Neighborhood'!G155+'By Neighborhood'!G167+'By Neighborhood'!G179)</f>
        <v>110</v>
      </c>
      <c r="H18" s="56">
        <f>SUM('By Neighborhood'!H62+'By Neighborhood'!H75+'By Neighborhood'!H86+'By Neighborhood'!H97+'By Neighborhood'!H109+'By Neighborhood'!H132+'By Neighborhood'!H144+'By Neighborhood'!H155+'By Neighborhood'!H167+'By Neighborhood'!H179)</f>
        <v>51</v>
      </c>
      <c r="I18" s="56">
        <f>SUM('By Neighborhood'!I62+'By Neighborhood'!I75+'By Neighborhood'!I86+'By Neighborhood'!I97+'By Neighborhood'!I109+'By Neighborhood'!I132+'By Neighborhood'!I144+'By Neighborhood'!I155+'By Neighborhood'!I167+'By Neighborhood'!I179)</f>
        <v>69</v>
      </c>
      <c r="J18" s="56">
        <f>SUM('By Neighborhood'!J62+'By Neighborhood'!J75+'By Neighborhood'!J86+'By Neighborhood'!J97+'By Neighborhood'!J109+'By Neighborhood'!J132+'By Neighborhood'!J144+'By Neighborhood'!J155+'By Neighborhood'!J167+'By Neighborhood'!J179)</f>
        <v>97</v>
      </c>
      <c r="K18" s="56">
        <f>SUM('By Neighborhood'!K62+'By Neighborhood'!K75+'By Neighborhood'!K86+'By Neighborhood'!K97+'By Neighborhood'!K109+'By Neighborhood'!K132+'By Neighborhood'!K144+'By Neighborhood'!K155+'By Neighborhood'!K167+'By Neighborhood'!K179)</f>
        <v>198</v>
      </c>
      <c r="L18" s="56">
        <f>SUM('By Neighborhood'!L62+'By Neighborhood'!L75+'By Neighborhood'!L86+'By Neighborhood'!L97+'By Neighborhood'!L109+'By Neighborhood'!L132+'By Neighborhood'!L144+'By Neighborhood'!L155+'By Neighborhood'!L167+'By Neighborhood'!L179)</f>
        <v>467</v>
      </c>
      <c r="M18" s="57">
        <f>SUM('By Neighborhood'!M62+'By Neighborhood'!M75+'By Neighborhood'!M86+'By Neighborhood'!M97+'By Neighborhood'!M109+'By Neighborhood'!M132+'By Neighborhood'!M144+'By Neighborhood'!M155+'By Neighborhood'!M167+'By Neighborhood'!M179)</f>
        <v>564</v>
      </c>
      <c r="N18" s="58">
        <f t="shared" si="0"/>
        <v>51</v>
      </c>
      <c r="O18" s="58">
        <f t="shared" si="1"/>
        <v>1602</v>
      </c>
      <c r="P18" s="59">
        <f t="shared" si="2"/>
        <v>0.96914700544464605</v>
      </c>
      <c r="Q18" s="6"/>
    </row>
    <row r="19" spans="1:18" ht="11.25" customHeight="1" x14ac:dyDescent="0.4">
      <c r="A19" s="17" t="s">
        <v>4</v>
      </c>
      <c r="B19" s="17" t="s">
        <v>323</v>
      </c>
      <c r="C19" s="54">
        <f>SUM('By Neighborhood'!C64,'By Neighborhood'!C168)</f>
        <v>48</v>
      </c>
      <c r="D19" s="54">
        <f>SUM('By Neighborhood'!D64,'By Neighborhood'!D168)</f>
        <v>30</v>
      </c>
      <c r="E19" s="58">
        <f>SUM('By Neighborhood'!E64,'By Neighborhood'!E168)</f>
        <v>0</v>
      </c>
      <c r="F19" s="58">
        <f>SUM('By Neighborhood'!F64,'By Neighborhood'!F168)</f>
        <v>0</v>
      </c>
      <c r="G19" s="58">
        <f>SUM('By Neighborhood'!G64,'By Neighborhood'!G168)</f>
        <v>0</v>
      </c>
      <c r="H19" s="58">
        <f>SUM('By Neighborhood'!H64,'By Neighborhood'!H168)</f>
        <v>1</v>
      </c>
      <c r="I19" s="58">
        <f>SUM('By Neighborhood'!I64,'By Neighborhood'!I168)</f>
        <v>1</v>
      </c>
      <c r="J19" s="58">
        <f>SUM('By Neighborhood'!J64,'By Neighborhood'!J168)</f>
        <v>4</v>
      </c>
      <c r="K19" s="58">
        <f>SUM('By Neighborhood'!K64,'By Neighborhood'!K168)</f>
        <v>7</v>
      </c>
      <c r="L19" s="58">
        <f>SUM('By Neighborhood'!L64,'By Neighborhood'!L168)</f>
        <v>10</v>
      </c>
      <c r="M19" s="60">
        <f>SUM('By Neighborhood'!M64,'By Neighborhood'!M168)</f>
        <v>12</v>
      </c>
      <c r="N19" s="58">
        <f t="shared" si="0"/>
        <v>0</v>
      </c>
      <c r="O19" s="58">
        <f t="shared" si="1"/>
        <v>48</v>
      </c>
      <c r="P19" s="59">
        <f t="shared" si="2"/>
        <v>1</v>
      </c>
      <c r="Q19" s="6"/>
    </row>
    <row r="20" spans="1:18" ht="11.25" customHeight="1" x14ac:dyDescent="0.4">
      <c r="A20" s="17"/>
      <c r="B20" s="17" t="s">
        <v>324</v>
      </c>
      <c r="C20" s="54">
        <f>'By Neighborhood'!C133</f>
        <v>8</v>
      </c>
      <c r="D20" s="54">
        <f>'By Neighborhood'!D133</f>
        <v>2</v>
      </c>
      <c r="E20" s="58">
        <f>'By Neighborhood'!E133</f>
        <v>0</v>
      </c>
      <c r="F20" s="58">
        <f>'By Neighborhood'!F133</f>
        <v>3</v>
      </c>
      <c r="G20" s="58">
        <f>'By Neighborhood'!G133</f>
        <v>1</v>
      </c>
      <c r="H20" s="58">
        <f>'By Neighborhood'!H133</f>
        <v>0</v>
      </c>
      <c r="I20" s="58">
        <f>'By Neighborhood'!I133</f>
        <v>2</v>
      </c>
      <c r="J20" s="58">
        <f>'By Neighborhood'!J133</f>
        <v>4</v>
      </c>
      <c r="K20" s="58">
        <f>'By Neighborhood'!K133</f>
        <v>3</v>
      </c>
      <c r="L20" s="58">
        <f>'By Neighborhood'!L133</f>
        <v>6</v>
      </c>
      <c r="M20" s="60">
        <f>'By Neighborhood'!M133</f>
        <v>7</v>
      </c>
      <c r="N20" s="58">
        <f t="shared" si="0"/>
        <v>0</v>
      </c>
      <c r="O20" s="58">
        <f t="shared" si="1"/>
        <v>8</v>
      </c>
      <c r="P20" s="59">
        <f t="shared" si="2"/>
        <v>1</v>
      </c>
      <c r="Q20" s="6"/>
    </row>
    <row r="21" spans="1:18" ht="11.25" customHeight="1" x14ac:dyDescent="0.4">
      <c r="A21" s="17"/>
      <c r="B21" s="17" t="s">
        <v>325</v>
      </c>
      <c r="C21" s="54">
        <f>SUM('By Neighborhood'!C63,'By Neighborhood'!C156)</f>
        <v>4</v>
      </c>
      <c r="D21" s="54">
        <f>SUM('By Neighborhood'!D63,'By Neighborhood'!D156)</f>
        <v>1</v>
      </c>
      <c r="E21" s="58">
        <f>SUM('By Neighborhood'!E63,'By Neighborhood'!E156)</f>
        <v>1</v>
      </c>
      <c r="F21" s="58">
        <f>SUM('By Neighborhood'!F63,'By Neighborhood'!F156)</f>
        <v>0</v>
      </c>
      <c r="G21" s="58">
        <f>SUM('By Neighborhood'!G63,'By Neighborhood'!G156)</f>
        <v>1</v>
      </c>
      <c r="H21" s="58">
        <f>SUM('By Neighborhood'!H63,'By Neighborhood'!H156)</f>
        <v>0</v>
      </c>
      <c r="I21" s="58">
        <f>SUM('By Neighborhood'!I63,'By Neighborhood'!I156)</f>
        <v>0</v>
      </c>
      <c r="J21" s="58">
        <f>SUM('By Neighborhood'!J63,'By Neighborhood'!J156)</f>
        <v>1</v>
      </c>
      <c r="K21" s="58">
        <f>SUM('By Neighborhood'!K63,'By Neighborhood'!K156)</f>
        <v>1</v>
      </c>
      <c r="L21" s="58">
        <f>SUM('By Neighborhood'!L63,'By Neighborhood'!L156)</f>
        <v>2</v>
      </c>
      <c r="M21" s="60">
        <f>SUM('By Neighborhood'!M63,'By Neighborhood'!M156)</f>
        <v>3</v>
      </c>
      <c r="N21" s="58">
        <f t="shared" si="0"/>
        <v>0</v>
      </c>
      <c r="O21" s="58">
        <f t="shared" si="1"/>
        <v>4</v>
      </c>
      <c r="P21" s="59">
        <f t="shared" si="2"/>
        <v>1</v>
      </c>
      <c r="Q21" s="6"/>
    </row>
    <row r="22" spans="1:18" ht="11.25" customHeight="1" x14ac:dyDescent="0.4">
      <c r="A22" s="17"/>
      <c r="B22" s="17" t="s">
        <v>301</v>
      </c>
      <c r="C22" s="54">
        <f>SUM('By Neighborhood'!C76,'By Neighborhood'!C87,'By Neighborhood'!C98,'By Neighborhood'!C110,'By Neighborhood'!C121,'By Neighborhood'!C134,'By Neighborhood'!C145,'By Neighborhood'!C157,'By Neighborhood'!C169,'By Neighborhood'!C180)</f>
        <v>3407</v>
      </c>
      <c r="D22" s="54">
        <f>SUM('By Neighborhood'!D76,'By Neighborhood'!D87,'By Neighborhood'!D98,'By Neighborhood'!D110,'By Neighborhood'!D121,'By Neighborhood'!D134,'By Neighborhood'!D145,'By Neighborhood'!D157,'By Neighborhood'!D169,'By Neighborhood'!D180)</f>
        <v>1455</v>
      </c>
      <c r="E22" s="58">
        <f>SUM('By Neighborhood'!E76,'By Neighborhood'!E87,'By Neighborhood'!E98,'By Neighborhood'!E110,'By Neighborhood'!E121,'By Neighborhood'!E134,'By Neighborhood'!E145,'By Neighborhood'!E157,'By Neighborhood'!E169,'By Neighborhood'!E180)</f>
        <v>1036</v>
      </c>
      <c r="F22" s="58">
        <f>SUM('By Neighborhood'!F76,'By Neighborhood'!F87,'By Neighborhood'!F98,'By Neighborhood'!F110,'By Neighborhood'!F121,'By Neighborhood'!F134,'By Neighborhood'!F145,'By Neighborhood'!F157,'By Neighborhood'!F169,'By Neighborhood'!F180)</f>
        <v>621</v>
      </c>
      <c r="G22" s="58">
        <f>SUM('By Neighborhood'!G76,'By Neighborhood'!G87,'By Neighborhood'!G98,'By Neighborhood'!G110,'By Neighborhood'!G121,'By Neighborhood'!G134,'By Neighborhood'!G145,'By Neighborhood'!G157,'By Neighborhood'!G169,'By Neighborhood'!G180)</f>
        <v>483</v>
      </c>
      <c r="H22" s="58">
        <f>SUM('By Neighborhood'!H76,'By Neighborhood'!H87,'By Neighborhood'!H98,'By Neighborhood'!H110,'By Neighborhood'!H121,'By Neighborhood'!H134,'By Neighborhood'!H145,'By Neighborhood'!H157,'By Neighborhood'!H169,'By Neighborhood'!H180)</f>
        <v>497</v>
      </c>
      <c r="I22" s="58">
        <f>SUM('By Neighborhood'!I76,'By Neighborhood'!I87,'By Neighborhood'!I98,'By Neighborhood'!I110,'By Neighborhood'!I121,'By Neighborhood'!I134,'By Neighborhood'!I145,'By Neighborhood'!I157,'By Neighborhood'!I169,'By Neighborhood'!I180)</f>
        <v>507</v>
      </c>
      <c r="J22" s="58">
        <f>SUM('By Neighborhood'!J76,'By Neighborhood'!J87,'By Neighborhood'!J98,'By Neighborhood'!J110,'By Neighborhood'!J121,'By Neighborhood'!J134,'By Neighborhood'!J145,'By Neighborhood'!J157,'By Neighborhood'!J169,'By Neighborhood'!J180)</f>
        <v>567</v>
      </c>
      <c r="K22" s="58">
        <f>SUM('By Neighborhood'!K76,'By Neighborhood'!K87,'By Neighborhood'!K98,'By Neighborhood'!K110,'By Neighborhood'!K121,'By Neighborhood'!K134,'By Neighborhood'!K145,'By Neighborhood'!K157,'By Neighborhood'!K169,'By Neighborhood'!K180)</f>
        <v>1122</v>
      </c>
      <c r="L22" s="58">
        <f>SUM('By Neighborhood'!L76,'By Neighborhood'!L87,'By Neighborhood'!L98,'By Neighborhood'!L110,'By Neighborhood'!L121,'By Neighborhood'!L134,'By Neighborhood'!L145,'By Neighborhood'!L157,'By Neighborhood'!L169,'By Neighborhood'!L180)</f>
        <v>1611</v>
      </c>
      <c r="M22" s="60">
        <f>SUM('By Neighborhood'!M76,'By Neighborhood'!M87,'By Neighborhood'!M98,'By Neighborhood'!M110,'By Neighborhood'!M121,'By Neighborhood'!M134,'By Neighborhood'!M145,'By Neighborhood'!M157,'By Neighborhood'!M169,'By Neighborhood'!M180)</f>
        <v>2069</v>
      </c>
      <c r="N22" s="58">
        <f t="shared" si="0"/>
        <v>483</v>
      </c>
      <c r="O22" s="58">
        <f t="shared" si="1"/>
        <v>2924</v>
      </c>
      <c r="P22" s="59">
        <f t="shared" si="2"/>
        <v>0.85823304960375701</v>
      </c>
      <c r="Q22" s="6"/>
    </row>
    <row r="23" spans="1:18" ht="11.25" customHeight="1" x14ac:dyDescent="0.4">
      <c r="A23" s="17"/>
      <c r="B23" s="17" t="s">
        <v>303</v>
      </c>
      <c r="C23" s="54">
        <f>SUM('By Neighborhood'!C77,'By Neighborhood'!C88,'By Neighborhood'!C99,'By Neighborhood'!C111,'By Neighborhood'!C122,'By Neighborhood'!C135,'By Neighborhood'!C146,'By Neighborhood'!C158,'By Neighborhood'!C170,'By Neighborhood'!C181)</f>
        <v>1185</v>
      </c>
      <c r="D23" s="54">
        <f>SUM('By Neighborhood'!D77,'By Neighborhood'!D88,'By Neighborhood'!D99,'By Neighborhood'!D111,'By Neighborhood'!D122,'By Neighborhood'!D135,'By Neighborhood'!D146,'By Neighborhood'!D158,'By Neighborhood'!D170,'By Neighborhood'!D181)</f>
        <v>86</v>
      </c>
      <c r="E23" s="58">
        <f>SUM('By Neighborhood'!E77,'By Neighborhood'!E88,'By Neighborhood'!E99,'By Neighborhood'!E111,'By Neighborhood'!E122,'By Neighborhood'!E135,'By Neighborhood'!E146,'By Neighborhood'!E158,'By Neighborhood'!E170,'By Neighborhood'!E181)</f>
        <v>10</v>
      </c>
      <c r="F23" s="58">
        <f>SUM('By Neighborhood'!F77,'By Neighborhood'!F88,'By Neighborhood'!F99,'By Neighborhood'!F111,'By Neighborhood'!F122,'By Neighborhood'!F135,'By Neighborhood'!F146,'By Neighborhood'!F158,'By Neighborhood'!F170,'By Neighborhood'!F181)</f>
        <v>10</v>
      </c>
      <c r="G23" s="58">
        <f>SUM('By Neighborhood'!G77,'By Neighborhood'!G88,'By Neighborhood'!G99,'By Neighborhood'!G111,'By Neighborhood'!G122,'By Neighborhood'!G135,'By Neighborhood'!G146,'By Neighborhood'!G158,'By Neighborhood'!G170,'By Neighborhood'!G181)</f>
        <v>10</v>
      </c>
      <c r="H23" s="58">
        <f>SUM('By Neighborhood'!H77,'By Neighborhood'!H88,'By Neighborhood'!H99,'By Neighborhood'!H111,'By Neighborhood'!H122,'By Neighborhood'!H135,'By Neighborhood'!H146,'By Neighborhood'!H158,'By Neighborhood'!H170,'By Neighborhood'!H181)</f>
        <v>8</v>
      </c>
      <c r="I23" s="58">
        <f>SUM('By Neighborhood'!I77,'By Neighborhood'!I88,'By Neighborhood'!I99,'By Neighborhood'!I111,'By Neighborhood'!I122,'By Neighborhood'!I135,'By Neighborhood'!I146,'By Neighborhood'!I158,'By Neighborhood'!I170,'By Neighborhood'!I181)</f>
        <v>8</v>
      </c>
      <c r="J23" s="58">
        <f>SUM('By Neighborhood'!J77,'By Neighborhood'!J88,'By Neighborhood'!J99,'By Neighborhood'!J111,'By Neighborhood'!J122,'By Neighborhood'!J135,'By Neighborhood'!J146,'By Neighborhood'!J158,'By Neighborhood'!J170,'By Neighborhood'!J181)</f>
        <v>8</v>
      </c>
      <c r="K23" s="58">
        <f>SUM('By Neighborhood'!K77,'By Neighborhood'!K88,'By Neighborhood'!K99,'By Neighborhood'!K111,'By Neighborhood'!K122,'By Neighborhood'!K135,'By Neighborhood'!K146,'By Neighborhood'!K158,'By Neighborhood'!K170,'By Neighborhood'!K181)</f>
        <v>28</v>
      </c>
      <c r="L23" s="58">
        <f>SUM('By Neighborhood'!L77,'By Neighborhood'!L88,'By Neighborhood'!L99,'By Neighborhood'!L111,'By Neighborhood'!L122,'By Neighborhood'!L135,'By Neighborhood'!L146,'By Neighborhood'!L158,'By Neighborhood'!L170,'By Neighborhood'!L181)</f>
        <v>48</v>
      </c>
      <c r="M23" s="60">
        <f>SUM('By Neighborhood'!M77,'By Neighborhood'!M88,'By Neighborhood'!M99,'By Neighborhood'!M111,'By Neighborhood'!M122,'By Neighborhood'!M135,'By Neighborhood'!M146,'By Neighborhood'!M158,'By Neighborhood'!M170,'By Neighborhood'!M181)</f>
        <v>84</v>
      </c>
      <c r="N23" s="58">
        <f t="shared" si="0"/>
        <v>8</v>
      </c>
      <c r="O23" s="58">
        <f t="shared" si="1"/>
        <v>1177</v>
      </c>
      <c r="P23" s="59">
        <f t="shared" si="2"/>
        <v>0.99324894514767936</v>
      </c>
      <c r="Q23" s="6"/>
    </row>
    <row r="24" spans="1:18" ht="11.25" customHeight="1" x14ac:dyDescent="0.4">
      <c r="A24" s="17"/>
      <c r="B24" s="17" t="s">
        <v>305</v>
      </c>
      <c r="C24" s="54">
        <f>'By Neighborhood'!C100</f>
        <v>228</v>
      </c>
      <c r="D24" s="54">
        <f>'By Neighborhood'!D100</f>
        <v>0</v>
      </c>
      <c r="E24" s="58">
        <f>'By Neighborhood'!E100</f>
        <v>0</v>
      </c>
      <c r="F24" s="58">
        <f>'By Neighborhood'!F100</f>
        <v>0</v>
      </c>
      <c r="G24" s="58">
        <f>'By Neighborhood'!G100</f>
        <v>0</v>
      </c>
      <c r="H24" s="58">
        <f>'By Neighborhood'!H100</f>
        <v>0</v>
      </c>
      <c r="I24" s="58">
        <f>'By Neighborhood'!I100</f>
        <v>0</v>
      </c>
      <c r="J24" s="58">
        <f>'By Neighborhood'!J100</f>
        <v>0</v>
      </c>
      <c r="K24" s="58">
        <f>'By Neighborhood'!K100</f>
        <v>3</v>
      </c>
      <c r="L24" s="58">
        <f>'By Neighborhood'!L100</f>
        <v>1</v>
      </c>
      <c r="M24" s="60">
        <f>'By Neighborhood'!M100</f>
        <v>0</v>
      </c>
      <c r="N24" s="58">
        <f t="shared" si="0"/>
        <v>0</v>
      </c>
      <c r="O24" s="58">
        <f t="shared" si="1"/>
        <v>228</v>
      </c>
      <c r="P24" s="59">
        <f t="shared" si="2"/>
        <v>1</v>
      </c>
      <c r="Q24" s="6"/>
    </row>
    <row r="25" spans="1:18" ht="11.25" customHeight="1" x14ac:dyDescent="0.4">
      <c r="A25" s="17"/>
      <c r="B25" s="17" t="s">
        <v>316</v>
      </c>
      <c r="C25" s="54">
        <f>SUM('By Neighborhood'!C123)</f>
        <v>398</v>
      </c>
      <c r="D25" s="54">
        <f>'By Neighborhood'!D123</f>
        <v>0</v>
      </c>
      <c r="E25" s="58">
        <f>'By Neighborhood'!E123</f>
        <v>0</v>
      </c>
      <c r="F25" s="58">
        <f>'By Neighborhood'!F123</f>
        <v>0</v>
      </c>
      <c r="G25" s="58">
        <f>'By Neighborhood'!G123</f>
        <v>1</v>
      </c>
      <c r="H25" s="58">
        <f>'By Neighborhood'!H123</f>
        <v>0</v>
      </c>
      <c r="I25" s="58">
        <f>'By Neighborhood'!I123</f>
        <v>0</v>
      </c>
      <c r="J25" s="58">
        <f>'By Neighborhood'!J123</f>
        <v>0</v>
      </c>
      <c r="K25" s="58">
        <f>'By Neighborhood'!K123</f>
        <v>1</v>
      </c>
      <c r="L25" s="58">
        <f>'By Neighborhood'!L123</f>
        <v>0</v>
      </c>
      <c r="M25" s="60">
        <f>'By Neighborhood'!M123</f>
        <v>1</v>
      </c>
      <c r="N25" s="58">
        <f t="shared" si="0"/>
        <v>0</v>
      </c>
      <c r="O25" s="58">
        <f t="shared" si="1"/>
        <v>398</v>
      </c>
      <c r="P25" s="59">
        <f t="shared" si="2"/>
        <v>1</v>
      </c>
      <c r="Q25" s="6"/>
      <c r="R25" s="1"/>
    </row>
    <row r="26" spans="1:18" ht="11.25" customHeight="1" x14ac:dyDescent="0.4">
      <c r="A26" s="17"/>
      <c r="B26" s="17" t="s">
        <v>307</v>
      </c>
      <c r="C26" s="54">
        <f>SUM('By Neighborhood'!C67+'By Neighborhood'!C78+'By Neighborhood'!C89+'By Neighborhood'!C101+'By Neighborhood'!C112+'By Neighborhood'!C124+'By Neighborhood'!C136+'By Neighborhood'!C147+'By Neighborhood'!C159+'By Neighborhood'!C171+'By Neighborhood'!C182)</f>
        <v>972</v>
      </c>
      <c r="D26" s="54">
        <f>SUM('By Neighborhood'!D67+'By Neighborhood'!D78+'By Neighborhood'!D89+'By Neighborhood'!D101+'By Neighborhood'!D112+'By Neighborhood'!D124+'By Neighborhood'!D136+'By Neighborhood'!D147+'By Neighborhood'!D159+'By Neighborhood'!D171+'By Neighborhood'!D182)</f>
        <v>460</v>
      </c>
      <c r="E26" s="58">
        <f>SUM('By Neighborhood'!E67+'By Neighborhood'!E78+'By Neighborhood'!E89+'By Neighborhood'!E101+'By Neighborhood'!E112+'By Neighborhood'!E124+'By Neighborhood'!E136+'By Neighborhood'!E147+'By Neighborhood'!E159+'By Neighborhood'!E171+'By Neighborhood'!E182)</f>
        <v>284</v>
      </c>
      <c r="F26" s="58">
        <f>SUM('By Neighborhood'!F67+'By Neighborhood'!F78+'By Neighborhood'!F89+'By Neighborhood'!F101+'By Neighborhood'!F112+'By Neighborhood'!F124+'By Neighborhood'!F136+'By Neighborhood'!F147+'By Neighborhood'!F159+'By Neighborhood'!F171+'By Neighborhood'!F182)</f>
        <v>203</v>
      </c>
      <c r="G26" s="58">
        <f>SUM('By Neighborhood'!G67+'By Neighborhood'!G78+'By Neighborhood'!G89+'By Neighborhood'!G101+'By Neighborhood'!G112+'By Neighborhood'!G124+'By Neighborhood'!G136+'By Neighborhood'!G147+'By Neighborhood'!G159+'By Neighborhood'!G171+'By Neighborhood'!G182)</f>
        <v>200</v>
      </c>
      <c r="H26" s="58">
        <f>SUM('By Neighborhood'!H67+'By Neighborhood'!H78+'By Neighborhood'!H89+'By Neighborhood'!H101+'By Neighborhood'!H112+'By Neighborhood'!H124+'By Neighborhood'!H136+'By Neighborhood'!H147+'By Neighborhood'!H159+'By Neighborhood'!H171+'By Neighborhood'!H182)</f>
        <v>193</v>
      </c>
      <c r="I26" s="58">
        <f>SUM('By Neighborhood'!I67+'By Neighborhood'!I78+'By Neighborhood'!I89+'By Neighborhood'!I101+'By Neighborhood'!I112+'By Neighborhood'!I124+'By Neighborhood'!I136+'By Neighborhood'!I147+'By Neighborhood'!I159+'By Neighborhood'!I171+'By Neighborhood'!I182)</f>
        <v>195</v>
      </c>
      <c r="J26" s="58">
        <f>SUM('By Neighborhood'!J67+'By Neighborhood'!J78+'By Neighborhood'!J89+'By Neighborhood'!J101+'By Neighborhood'!J112+'By Neighborhood'!J124+'By Neighborhood'!J136+'By Neighborhood'!J147+'By Neighborhood'!J159+'By Neighborhood'!J171+'By Neighborhood'!J182)</f>
        <v>202</v>
      </c>
      <c r="K26" s="58">
        <f>SUM('By Neighborhood'!K67+'By Neighborhood'!K78+'By Neighborhood'!K89+'By Neighborhood'!K101+'By Neighborhood'!K112+'By Neighborhood'!K124+'By Neighborhood'!K136+'By Neighborhood'!K147+'By Neighborhood'!K159+'By Neighborhood'!K171+'By Neighborhood'!K182)</f>
        <v>233</v>
      </c>
      <c r="L26" s="58">
        <f>SUM('By Neighborhood'!L67+'By Neighborhood'!L78+'By Neighborhood'!L89+'By Neighborhood'!L101+'By Neighborhood'!L112+'By Neighborhood'!L124+'By Neighborhood'!L136+'By Neighborhood'!L147+'By Neighborhood'!L159+'By Neighborhood'!L171+'By Neighborhood'!L182)</f>
        <v>305</v>
      </c>
      <c r="M26" s="60">
        <f>SUM('By Neighborhood'!M67+'By Neighborhood'!M78+'By Neighborhood'!M89+'By Neighborhood'!M101+'By Neighborhood'!M112+'By Neighborhood'!M124+'By Neighborhood'!M136+'By Neighborhood'!M147+'By Neighborhood'!M159+'By Neighborhood'!M171+'By Neighborhood'!M182)</f>
        <v>394</v>
      </c>
      <c r="N26" s="58">
        <f t="shared" si="0"/>
        <v>193</v>
      </c>
      <c r="O26" s="58">
        <f t="shared" si="1"/>
        <v>779</v>
      </c>
      <c r="P26" s="59">
        <f t="shared" si="2"/>
        <v>0.80144032921810704</v>
      </c>
      <c r="Q26" s="6"/>
      <c r="R26" s="1"/>
    </row>
    <row r="27" spans="1:18" ht="11.25" customHeight="1" x14ac:dyDescent="0.4">
      <c r="A27" s="17"/>
      <c r="B27" s="17" t="s">
        <v>308</v>
      </c>
      <c r="C27" s="54">
        <f>SUM('By Neighborhood'!C68+'By Neighborhood'!C79+'By Neighborhood'!C90+'By Neighborhood'!C102+'By Neighborhood'!C113+'By Neighborhood'!C125+'By Neighborhood'!C137+'By Neighborhood'!C148+'By Neighborhood'!C160+'By Neighborhood'!C172+'By Neighborhood'!C183)</f>
        <v>417</v>
      </c>
      <c r="D27" s="54">
        <f>SUM('By Neighborhood'!D68+'By Neighborhood'!D79+'By Neighborhood'!D90+'By Neighborhood'!D102+'By Neighborhood'!D113+'By Neighborhood'!D125+'By Neighborhood'!D137+'By Neighborhood'!D160+'By Neighborhood'!D172+'By Neighborhood'!D183)</f>
        <v>292</v>
      </c>
      <c r="E27" s="58">
        <f>SUM('By Neighborhood'!E68+'By Neighborhood'!E79+'By Neighborhood'!E90+'By Neighborhood'!E102+'By Neighborhood'!E113+'By Neighborhood'!E125+'By Neighborhood'!E137+'By Neighborhood'!E160+'By Neighborhood'!E172+'By Neighborhood'!E183)</f>
        <v>257</v>
      </c>
      <c r="F27" s="58">
        <f>SUM('By Neighborhood'!F68+'By Neighborhood'!F79+'By Neighborhood'!F90+'By Neighborhood'!F102+'By Neighborhood'!F113+'By Neighborhood'!F125+'By Neighborhood'!F137+'By Neighborhood'!F160+'By Neighborhood'!F172+'By Neighborhood'!F183)</f>
        <v>240</v>
      </c>
      <c r="G27" s="58">
        <f>SUM('By Neighborhood'!G68+'By Neighborhood'!G79+'By Neighborhood'!G90+'By Neighborhood'!G102+'By Neighborhood'!G113+'By Neighborhood'!G125+'By Neighborhood'!G137+'By Neighborhood'!G160+'By Neighborhood'!G172+'By Neighborhood'!G183)</f>
        <v>204</v>
      </c>
      <c r="H27" s="58">
        <f>SUM('By Neighborhood'!H68+'By Neighborhood'!H79+'By Neighborhood'!H90+'By Neighborhood'!H102+'By Neighborhood'!H113+'By Neighborhood'!H125+'By Neighborhood'!H137+'By Neighborhood'!H160+'By Neighborhood'!H172+'By Neighborhood'!H183)</f>
        <v>190</v>
      </c>
      <c r="I27" s="58">
        <f>SUM('By Neighborhood'!I68+'By Neighborhood'!I79+'By Neighborhood'!I90+'By Neighborhood'!I102+'By Neighborhood'!I113+'By Neighborhood'!I125+'By Neighborhood'!I137+'By Neighborhood'!I160+'By Neighborhood'!I172+'By Neighborhood'!I183)</f>
        <v>192</v>
      </c>
      <c r="J27" s="58">
        <f>SUM('By Neighborhood'!J68+'By Neighborhood'!J79+'By Neighborhood'!J90+'By Neighborhood'!J102+'By Neighborhood'!J113+'By Neighborhood'!J125+'By Neighborhood'!J137+'By Neighborhood'!J160+'By Neighborhood'!J172+'By Neighborhood'!J183)</f>
        <v>211</v>
      </c>
      <c r="K27" s="58">
        <f>SUM('By Neighborhood'!K68+'By Neighborhood'!K79+'By Neighborhood'!K90+'By Neighborhood'!K102+'By Neighborhood'!K113+'By Neighborhood'!K125+'By Neighborhood'!K137+'By Neighborhood'!K160+'By Neighborhood'!K172+'By Neighborhood'!K183)</f>
        <v>237</v>
      </c>
      <c r="L27" s="58">
        <f>SUM('By Neighborhood'!L68+'By Neighborhood'!L79+'By Neighborhood'!L90+'By Neighborhood'!L102+'By Neighborhood'!L113+'By Neighborhood'!L125+'By Neighborhood'!L137+'By Neighborhood'!L160+'By Neighborhood'!L172+'By Neighborhood'!L183)</f>
        <v>252</v>
      </c>
      <c r="M27" s="60">
        <f>SUM('By Neighborhood'!M68+'By Neighborhood'!M79+'By Neighborhood'!M90+'By Neighborhood'!M102+'By Neighborhood'!M113+'By Neighborhood'!M125+'By Neighborhood'!M137+'By Neighborhood'!M160+'By Neighborhood'!M172+'By Neighborhood'!M183)</f>
        <v>272</v>
      </c>
      <c r="N27" s="58">
        <f t="shared" si="0"/>
        <v>190</v>
      </c>
      <c r="O27" s="58">
        <f t="shared" si="1"/>
        <v>227</v>
      </c>
      <c r="P27" s="59">
        <f t="shared" si="2"/>
        <v>0.54436450839328532</v>
      </c>
      <c r="Q27" s="6"/>
      <c r="R27" s="1"/>
    </row>
    <row r="28" spans="1:18" ht="11.25" customHeight="1" x14ac:dyDescent="0.4">
      <c r="A28" s="17"/>
      <c r="B28" s="17" t="s">
        <v>309</v>
      </c>
      <c r="C28" s="54">
        <f>SUM('By Neighborhood'!C56+'By Neighborhood'!C69+'By Neighborhood'!C80+'By Neighborhood'!C91+'By Neighborhood'!C103+'By Neighborhood'!C114+'By Neighborhood'!C126+'By Neighborhood'!C149+'By Neighborhood'!C161+'By Neighborhood'!C173+'By Neighborhood'!C184)</f>
        <v>490</v>
      </c>
      <c r="D28" s="54">
        <f>SUM('By Neighborhood'!D56+'By Neighborhood'!D69+'By Neighborhood'!D80+'By Neighborhood'!D91+'By Neighborhood'!D103+'By Neighborhood'!D114+'By Neighborhood'!D126+'By Neighborhood'!D149+'By Neighborhood'!D161+'By Neighborhood'!D173+'By Neighborhood'!D184)</f>
        <v>280</v>
      </c>
      <c r="E28" s="58">
        <f>SUM('By Neighborhood'!E56+'By Neighborhood'!E69+'By Neighborhood'!E80+'By Neighborhood'!E91+'By Neighborhood'!E103+'By Neighborhood'!E114+'By Neighborhood'!E126+'By Neighborhood'!E149+'By Neighborhood'!E161+'By Neighborhood'!E173+'By Neighborhood'!E184)</f>
        <v>194</v>
      </c>
      <c r="F28" s="58">
        <f>SUM('By Neighborhood'!F56+'By Neighborhood'!F69+'By Neighborhood'!F80+'By Neighborhood'!F91+'By Neighborhood'!F103+'By Neighborhood'!F114+'By Neighborhood'!F126+'By Neighborhood'!F149+'By Neighborhood'!F161+'By Neighborhood'!F173+'By Neighborhood'!F184)</f>
        <v>90</v>
      </c>
      <c r="G28" s="58">
        <f>SUM('By Neighborhood'!G56+'By Neighborhood'!G69+'By Neighborhood'!G80+'By Neighborhood'!G91+'By Neighborhood'!G103+'By Neighborhood'!G114+'By Neighborhood'!G126+'By Neighborhood'!G149+'By Neighborhood'!G161+'By Neighborhood'!G173+'By Neighborhood'!G184)</f>
        <v>71</v>
      </c>
      <c r="H28" s="58">
        <f>SUM('By Neighborhood'!H56+'By Neighborhood'!H69+'By Neighborhood'!H80+'By Neighborhood'!H91+'By Neighborhood'!H103+'By Neighborhood'!H114+'By Neighborhood'!H126+'By Neighborhood'!H149+'By Neighborhood'!H161+'By Neighborhood'!H173+'By Neighborhood'!H184)</f>
        <v>76</v>
      </c>
      <c r="I28" s="58">
        <f>SUM('By Neighborhood'!I56+'By Neighborhood'!I69+'By Neighborhood'!I80+'By Neighborhood'!I91+'By Neighborhood'!I103+'By Neighborhood'!I114+'By Neighborhood'!I126+'By Neighborhood'!I149+'By Neighborhood'!I161+'By Neighborhood'!I173+'By Neighborhood'!I184)</f>
        <v>75</v>
      </c>
      <c r="J28" s="58">
        <f>SUM('By Neighborhood'!J56+'By Neighborhood'!J69+'By Neighborhood'!J80+'By Neighborhood'!J91+'By Neighborhood'!J103+'By Neighborhood'!J114+'By Neighborhood'!J126+'By Neighborhood'!J149+'By Neighborhood'!J161+'By Neighborhood'!J173+'By Neighborhood'!J184)</f>
        <v>82</v>
      </c>
      <c r="K28" s="58">
        <f>SUM('By Neighborhood'!K56+'By Neighborhood'!K69+'By Neighborhood'!K80+'By Neighborhood'!K91+'By Neighborhood'!K103+'By Neighborhood'!K114+'By Neighborhood'!K126+'By Neighborhood'!K149+'By Neighborhood'!K161+'By Neighborhood'!K173+'By Neighborhood'!K184)</f>
        <v>127</v>
      </c>
      <c r="L28" s="58">
        <f>SUM('By Neighborhood'!L56+'By Neighborhood'!L69+'By Neighborhood'!L80+'By Neighborhood'!L91+'By Neighborhood'!L103+'By Neighborhood'!L114+'By Neighborhood'!L126+'By Neighborhood'!L149+'By Neighborhood'!L161+'By Neighborhood'!L173+'By Neighborhood'!L184)</f>
        <v>170</v>
      </c>
      <c r="M28" s="60">
        <f>SUM('By Neighborhood'!M56+'By Neighborhood'!M69+'By Neighborhood'!M80+'By Neighborhood'!M91+'By Neighborhood'!M103+'By Neighborhood'!M114+'By Neighborhood'!M126+'By Neighborhood'!M149+'By Neighborhood'!M161+'By Neighborhood'!M173+'By Neighborhood'!M184)</f>
        <v>231</v>
      </c>
      <c r="N28" s="58">
        <f t="shared" si="0"/>
        <v>71</v>
      </c>
      <c r="O28" s="58">
        <f t="shared" si="1"/>
        <v>419</v>
      </c>
      <c r="P28" s="59">
        <f t="shared" si="2"/>
        <v>0.85510204081632657</v>
      </c>
      <c r="Q28" s="6"/>
      <c r="R28" s="1"/>
    </row>
    <row r="29" spans="1:18" ht="11.25" customHeight="1" x14ac:dyDescent="0.4">
      <c r="A29" s="17"/>
      <c r="B29" s="17" t="s">
        <v>310</v>
      </c>
      <c r="C29" s="54">
        <f>SUM('By Neighborhood'!C70+'By Neighborhood'!C81+'By Neighborhood'!C92+'By Neighborhood'!C104+'By Neighborhood'!C115+'By Neighborhood'!C127+'By Neighborhood'!C139+'By Neighborhood'!C150+'By Neighborhood'!C162+'By Neighborhood'!C174+'By Neighborhood'!C185)</f>
        <v>387</v>
      </c>
      <c r="D29" s="54">
        <f>SUM('By Neighborhood'!D70+'By Neighborhood'!D81+'By Neighborhood'!D92+'By Neighborhood'!D104+'By Neighborhood'!D115+'By Neighborhood'!D127+'By Neighborhood'!D139+'By Neighborhood'!D150+'By Neighborhood'!D162+'By Neighborhood'!D174+'By Neighborhood'!D185)</f>
        <v>191</v>
      </c>
      <c r="E29" s="58">
        <f>SUM('By Neighborhood'!E70+'By Neighborhood'!E81+'By Neighborhood'!E92+'By Neighborhood'!E104+'By Neighborhood'!E115+'By Neighborhood'!E127+'By Neighborhood'!E139+'By Neighborhood'!E150+'By Neighborhood'!E162+'By Neighborhood'!E174+'By Neighborhood'!E185)</f>
        <v>169</v>
      </c>
      <c r="F29" s="58">
        <f>SUM('By Neighborhood'!F70+'By Neighborhood'!F81+'By Neighborhood'!F92+'By Neighborhood'!F104+'By Neighborhood'!F115+'By Neighborhood'!F127+'By Neighborhood'!F139+'By Neighborhood'!F150+'By Neighborhood'!F162+'By Neighborhood'!F174+'By Neighborhood'!F185)</f>
        <v>141</v>
      </c>
      <c r="G29" s="58">
        <f>SUM('By Neighborhood'!G70+'By Neighborhood'!G81+'By Neighborhood'!G92+'By Neighborhood'!G104+'By Neighborhood'!G115+'By Neighborhood'!G127+'By Neighborhood'!G139+'By Neighborhood'!G150+'By Neighborhood'!G162+'By Neighborhood'!G174+'By Neighborhood'!G185)</f>
        <v>135</v>
      </c>
      <c r="H29" s="58">
        <f>SUM('By Neighborhood'!H70+'By Neighborhood'!H81+'By Neighborhood'!H92+'By Neighborhood'!H104+'By Neighborhood'!H115+'By Neighborhood'!H127+'By Neighborhood'!H139+'By Neighborhood'!H150+'By Neighborhood'!H162+'By Neighborhood'!H174+'By Neighborhood'!H185)</f>
        <v>122</v>
      </c>
      <c r="I29" s="58">
        <f>SUM('By Neighborhood'!I70+'By Neighborhood'!I81+'By Neighborhood'!I92+'By Neighborhood'!I104+'By Neighborhood'!I115+'By Neighborhood'!I127+'By Neighborhood'!I139+'By Neighborhood'!I150+'By Neighborhood'!I162+'By Neighborhood'!I174+'By Neighborhood'!I185)</f>
        <v>128</v>
      </c>
      <c r="J29" s="58">
        <f>SUM('By Neighborhood'!J70+'By Neighborhood'!J81+'By Neighborhood'!J92+'By Neighborhood'!J104+'By Neighborhood'!J115+'By Neighborhood'!J127+'By Neighborhood'!J139+'By Neighborhood'!J150+'By Neighborhood'!J162+'By Neighborhood'!J174+'By Neighborhood'!J185)</f>
        <v>147</v>
      </c>
      <c r="K29" s="58">
        <f>SUM('By Neighborhood'!K70+'By Neighborhood'!K81+'By Neighborhood'!K92+'By Neighborhood'!K104+'By Neighborhood'!K115+'By Neighborhood'!K127+'By Neighborhood'!K139+'By Neighborhood'!K150+'By Neighborhood'!K162+'By Neighborhood'!K174+'By Neighborhood'!K185)</f>
        <v>187</v>
      </c>
      <c r="L29" s="58">
        <f>SUM('By Neighborhood'!L70+'By Neighborhood'!L81+'By Neighborhood'!L92+'By Neighborhood'!L104+'By Neighborhood'!L115+'By Neighborhood'!L127+'By Neighborhood'!L139+'By Neighborhood'!L150+'By Neighborhood'!L162+'By Neighborhood'!L174+'By Neighborhood'!L185)</f>
        <v>235</v>
      </c>
      <c r="M29" s="60">
        <f>SUM('By Neighborhood'!M70+'By Neighborhood'!M81+'By Neighborhood'!M92+'By Neighborhood'!M104+'By Neighborhood'!M115+'By Neighborhood'!M127+'By Neighborhood'!M139+'By Neighborhood'!M150+'By Neighborhood'!M162+'By Neighborhood'!M174+'By Neighborhood'!M185)</f>
        <v>262</v>
      </c>
      <c r="N29" s="58">
        <f t="shared" si="0"/>
        <v>122</v>
      </c>
      <c r="O29" s="58">
        <f t="shared" si="1"/>
        <v>265</v>
      </c>
      <c r="P29" s="59">
        <f t="shared" si="2"/>
        <v>0.68475452196382425</v>
      </c>
      <c r="Q29" s="6"/>
      <c r="R29" s="1"/>
    </row>
    <row r="30" spans="1:18" ht="11.25" customHeight="1" x14ac:dyDescent="0.4">
      <c r="A30" s="17"/>
      <c r="B30" s="17" t="s">
        <v>311</v>
      </c>
      <c r="C30" s="54">
        <f>SUM('By Neighborhood'!C71+'By Neighborhood'!C82+'By Neighborhood'!C93+'By Neighborhood'!C105+'By Neighborhood'!C116+'By Neighborhood'!C128+'By Neighborhood'!C140+'By Neighborhood'!C151+'By Neighborhood'!C163+'By Neighborhood'!C175+'By Neighborhood'!C186)</f>
        <v>217</v>
      </c>
      <c r="D30" s="54">
        <f>SUM('By Neighborhood'!D71+'By Neighborhood'!D82+'By Neighborhood'!D105+'By Neighborhood'!D116+'By Neighborhood'!D128+'By Neighborhood'!D151+'By Neighborhood'!D163+'By Neighborhood'!D175+'By Neighborhood'!D186)</f>
        <v>35</v>
      </c>
      <c r="E30" s="58">
        <f>SUM('By Neighborhood'!E71+'By Neighborhood'!E82+'By Neighborhood'!E105+'By Neighborhood'!E116+'By Neighborhood'!E128+'By Neighborhood'!E151+'By Neighborhood'!E163+'By Neighborhood'!E175+'By Neighborhood'!E186)</f>
        <v>41</v>
      </c>
      <c r="F30" s="58">
        <f>SUM('By Neighborhood'!F71+'By Neighborhood'!F82+'By Neighborhood'!F105+'By Neighborhood'!F116+'By Neighborhood'!F128+'By Neighborhood'!F151+'By Neighborhood'!F163+'By Neighborhood'!F175+'By Neighborhood'!F186)</f>
        <v>36</v>
      </c>
      <c r="G30" s="58">
        <f>SUM('By Neighborhood'!G71+'By Neighborhood'!G82+'By Neighborhood'!G105+'By Neighborhood'!G116+'By Neighborhood'!G128+'By Neighborhood'!G151+'By Neighborhood'!G163+'By Neighborhood'!G175+'By Neighborhood'!G186)</f>
        <v>41</v>
      </c>
      <c r="H30" s="58">
        <f>SUM('By Neighborhood'!H71+'By Neighborhood'!H82+'By Neighborhood'!H105+'By Neighborhood'!H116+'By Neighborhood'!H128+'By Neighborhood'!H151+'By Neighborhood'!H163+'By Neighborhood'!H175+'By Neighborhood'!H186)</f>
        <v>36</v>
      </c>
      <c r="I30" s="58">
        <f>SUM('By Neighborhood'!I71+'By Neighborhood'!I82+'By Neighborhood'!I105+'By Neighborhood'!I116+'By Neighborhood'!I128+'By Neighborhood'!I151+'By Neighborhood'!I163+'By Neighborhood'!I175+'By Neighborhood'!I186)</f>
        <v>51</v>
      </c>
      <c r="J30" s="58">
        <f>SUM('By Neighborhood'!J71+'By Neighborhood'!J82+'By Neighborhood'!J105+'By Neighborhood'!J116+'By Neighborhood'!J128+'By Neighborhood'!J151+'By Neighborhood'!J163+'By Neighborhood'!J175+'By Neighborhood'!J186)</f>
        <v>39</v>
      </c>
      <c r="K30" s="58">
        <f>SUM('By Neighborhood'!K71+'By Neighborhood'!K82+'By Neighborhood'!K105+'By Neighborhood'!K116+'By Neighborhood'!K128+'By Neighborhood'!K151+'By Neighborhood'!K163+'By Neighborhood'!K175+'By Neighborhood'!K186)</f>
        <v>39</v>
      </c>
      <c r="L30" s="58">
        <f>SUM('By Neighborhood'!L71+'By Neighborhood'!L82+'By Neighborhood'!L105+'By Neighborhood'!L116+'By Neighborhood'!L128+'By Neighborhood'!L151+'By Neighborhood'!L163+'By Neighborhood'!L175+'By Neighborhood'!L186)</f>
        <v>42</v>
      </c>
      <c r="M30" s="60">
        <f>SUM('By Neighborhood'!M71+'By Neighborhood'!M82+'By Neighborhood'!M105+'By Neighborhood'!M116+'By Neighborhood'!M128+'By Neighborhood'!M151+'By Neighborhood'!M163+'By Neighborhood'!M175+'By Neighborhood'!M186)</f>
        <v>43</v>
      </c>
      <c r="N30" s="58">
        <f t="shared" si="0"/>
        <v>35</v>
      </c>
      <c r="O30" s="58">
        <f t="shared" si="1"/>
        <v>182</v>
      </c>
      <c r="P30" s="59">
        <f t="shared" si="2"/>
        <v>0.83870967741935487</v>
      </c>
      <c r="Q30" s="6"/>
      <c r="R30" s="1"/>
    </row>
    <row r="31" spans="1:18" ht="11.25" customHeight="1" x14ac:dyDescent="0.4">
      <c r="A31" s="17"/>
      <c r="B31" s="17" t="s">
        <v>312</v>
      </c>
      <c r="C31" s="54">
        <f>SUM('By Neighborhood'!C72+'By Neighborhood'!C83+'By Neighborhood'!C94+'By Neighborhood'!C106+'By Neighborhood'!C117+'By Neighborhood'!C129+'By Neighborhood'!C141+'By Neighborhood'!C152+'By Neighborhood'!C164+'By Neighborhood'!C176+'By Neighborhood'!C187)</f>
        <v>75</v>
      </c>
      <c r="D31" s="54">
        <f>SUM('By Neighborhood'!D72+'By Neighborhood'!D83+'By Neighborhood'!D94+'By Neighborhood'!D106+'By Neighborhood'!D117+'By Neighborhood'!D129+'By Neighborhood'!D141+'By Neighborhood'!D152+'By Neighborhood'!D164+'By Neighborhood'!D176+'By Neighborhood'!D187)</f>
        <v>38</v>
      </c>
      <c r="E31" s="58">
        <f>SUM('By Neighborhood'!E72+'By Neighborhood'!E83+'By Neighborhood'!E94+'By Neighborhood'!E106+'By Neighborhood'!E117+'By Neighborhood'!E129+'By Neighborhood'!E141+'By Neighborhood'!E152+'By Neighborhood'!E164+'By Neighborhood'!E176+'By Neighborhood'!E187)</f>
        <v>29</v>
      </c>
      <c r="F31" s="58">
        <f>SUM('By Neighborhood'!F72+'By Neighborhood'!F83+'By Neighborhood'!F94+'By Neighborhood'!F106+'By Neighborhood'!F117+'By Neighborhood'!F129+'By Neighborhood'!F141+'By Neighborhood'!F152+'By Neighborhood'!F164+'By Neighborhood'!F176+'By Neighborhood'!F187)</f>
        <v>22</v>
      </c>
      <c r="G31" s="58">
        <f>SUM('By Neighborhood'!G72+'By Neighborhood'!G83+'By Neighborhood'!G94+'By Neighborhood'!G106+'By Neighborhood'!G117+'By Neighborhood'!G129+'By Neighborhood'!G141+'By Neighborhood'!G152+'By Neighborhood'!G164+'By Neighborhood'!G176+'By Neighborhood'!G187)</f>
        <v>19</v>
      </c>
      <c r="H31" s="58">
        <f>SUM('By Neighborhood'!H72+'By Neighborhood'!H83+'By Neighborhood'!H94+'By Neighborhood'!H106+'By Neighborhood'!H117+'By Neighborhood'!H129+'By Neighborhood'!H141+'By Neighborhood'!H152+'By Neighborhood'!H164+'By Neighborhood'!H176+'By Neighborhood'!H187)</f>
        <v>21</v>
      </c>
      <c r="I31" s="58">
        <f>SUM('By Neighborhood'!I72+'By Neighborhood'!I83+'By Neighborhood'!I94+'By Neighborhood'!I106+'By Neighborhood'!I117+'By Neighborhood'!I129+'By Neighborhood'!I141+'By Neighborhood'!I152+'By Neighborhood'!I164+'By Neighborhood'!I176+'By Neighborhood'!I187)</f>
        <v>21</v>
      </c>
      <c r="J31" s="58">
        <f>SUM('By Neighborhood'!J72+'By Neighborhood'!J83+'By Neighborhood'!J94+'By Neighborhood'!J106+'By Neighborhood'!J117+'By Neighborhood'!J129+'By Neighborhood'!J141+'By Neighborhood'!J152+'By Neighborhood'!J164+'By Neighborhood'!J176+'By Neighborhood'!J187)</f>
        <v>24</v>
      </c>
      <c r="K31" s="58">
        <f>SUM('By Neighborhood'!K72+'By Neighborhood'!K83+'By Neighborhood'!K94+'By Neighborhood'!K106+'By Neighborhood'!K117+'By Neighborhood'!K129+'By Neighborhood'!K141+'By Neighborhood'!K152+'By Neighborhood'!K164+'By Neighborhood'!K176+'By Neighborhood'!K187)</f>
        <v>23</v>
      </c>
      <c r="L31" s="58">
        <f>SUM('By Neighborhood'!L72+'By Neighborhood'!L83+'By Neighborhood'!L94+'By Neighborhood'!L106+'By Neighborhood'!L117+'By Neighborhood'!L129+'By Neighborhood'!L141+'By Neighborhood'!L152+'By Neighborhood'!L164+'By Neighborhood'!L176+'By Neighborhood'!L187)</f>
        <v>28</v>
      </c>
      <c r="M31" s="60">
        <f>SUM('By Neighborhood'!M72+'By Neighborhood'!M83+'By Neighborhood'!M94+'By Neighborhood'!M106+'By Neighborhood'!M117+'By Neighborhood'!M129+'By Neighborhood'!M141+'By Neighborhood'!M152+'By Neighborhood'!M164+'By Neighborhood'!M176+'By Neighborhood'!M187)</f>
        <v>33</v>
      </c>
      <c r="N31" s="58">
        <f t="shared" si="0"/>
        <v>19</v>
      </c>
      <c r="O31" s="58">
        <f t="shared" si="1"/>
        <v>56</v>
      </c>
      <c r="P31" s="59">
        <f t="shared" si="2"/>
        <v>0.7466666666666667</v>
      </c>
      <c r="Q31" s="6"/>
      <c r="R31" s="1"/>
    </row>
    <row r="32" spans="1:18" ht="11.25" customHeight="1" x14ac:dyDescent="0.4">
      <c r="A32" s="17"/>
      <c r="B32" s="17" t="s">
        <v>313</v>
      </c>
      <c r="C32" s="54">
        <f>SUM('By Neighborhood'!C73+'By Neighborhood'!C84+'By Neighborhood'!C95+'By Neighborhood'!C107+'By Neighborhood'!C118+'By Neighborhood'!C130+'By Neighborhood'!C142+'By Neighborhood'!C153+'By Neighborhood'!C165+'By Neighborhood'!C177+'By Neighborhood'!C188)</f>
        <v>93</v>
      </c>
      <c r="D32" s="62">
        <f>SUM('By Neighborhood'!D73+'By Neighborhood'!D84+'By Neighborhood'!D95+'By Neighborhood'!D107+'By Neighborhood'!D130+'By Neighborhood'!D142+'By Neighborhood'!D153+'By Neighborhood'!D165+'By Neighborhood'!D177+'By Neighborhood'!D188)</f>
        <v>57</v>
      </c>
      <c r="E32" s="63">
        <f>SUM('By Neighborhood'!E73+'By Neighborhood'!E84+'By Neighborhood'!E95+'By Neighborhood'!E107+'By Neighborhood'!E130+'By Neighborhood'!E142+'By Neighborhood'!E153+'By Neighborhood'!E165+'By Neighborhood'!E177+'By Neighborhood'!E188)</f>
        <v>54</v>
      </c>
      <c r="F32" s="63">
        <f>SUM('By Neighborhood'!F73+'By Neighborhood'!F84+'By Neighborhood'!F95+'By Neighborhood'!F107+'By Neighborhood'!F130+'By Neighborhood'!F142+'By Neighborhood'!F153+'By Neighborhood'!F165+'By Neighborhood'!F177+'By Neighborhood'!F188)</f>
        <v>49</v>
      </c>
      <c r="G32" s="63">
        <f>SUM('By Neighborhood'!G73+'By Neighborhood'!G84+'By Neighborhood'!G95+'By Neighborhood'!G107+'By Neighborhood'!G130+'By Neighborhood'!G142+'By Neighborhood'!G153+'By Neighborhood'!G165+'By Neighborhood'!G177+'By Neighborhood'!G188)</f>
        <v>44</v>
      </c>
      <c r="H32" s="63">
        <f>SUM('By Neighborhood'!H73+'By Neighborhood'!H84+'By Neighborhood'!H95+'By Neighborhood'!H107+'By Neighborhood'!H130+'By Neighborhood'!H142+'By Neighborhood'!H153+'By Neighborhood'!H165+'By Neighborhood'!H177+'By Neighborhood'!H188)</f>
        <v>37</v>
      </c>
      <c r="I32" s="63">
        <f>SUM('By Neighborhood'!I73+'By Neighborhood'!I84+'By Neighborhood'!I95+'By Neighborhood'!I107+'By Neighborhood'!I130+'By Neighborhood'!I142+'By Neighborhood'!I153+'By Neighborhood'!I165+'By Neighborhood'!I177+'By Neighborhood'!I188)</f>
        <v>32</v>
      </c>
      <c r="J32" s="63">
        <f>SUM('By Neighborhood'!J73+'By Neighborhood'!J84+'By Neighborhood'!J95+'By Neighborhood'!J107+'By Neighborhood'!J130+'By Neighborhood'!J142+'By Neighborhood'!J153+'By Neighborhood'!J165+'By Neighborhood'!J177+'By Neighborhood'!J188)</f>
        <v>34</v>
      </c>
      <c r="K32" s="63">
        <f>SUM('By Neighborhood'!K73+'By Neighborhood'!K84+'By Neighborhood'!K95+'By Neighborhood'!K107+'By Neighborhood'!K130+'By Neighborhood'!K142+'By Neighborhood'!K153+'By Neighborhood'!K165+'By Neighborhood'!K177+'By Neighborhood'!K188)</f>
        <v>42</v>
      </c>
      <c r="L32" s="63">
        <f>SUM('By Neighborhood'!L73+'By Neighborhood'!L84+'By Neighborhood'!L95+'By Neighborhood'!L107+'By Neighborhood'!L130+'By Neighborhood'!L142+'By Neighborhood'!L153+'By Neighborhood'!L165+'By Neighborhood'!L177+'By Neighborhood'!L188)</f>
        <v>50</v>
      </c>
      <c r="M32" s="64">
        <f>SUM('By Neighborhood'!M73+'By Neighborhood'!M84+'By Neighborhood'!M95+'By Neighborhood'!M107+'By Neighborhood'!M130+'By Neighborhood'!M142+'By Neighborhood'!M153+'By Neighborhood'!M165+'By Neighborhood'!M177+'By Neighborhood'!M188)</f>
        <v>56</v>
      </c>
      <c r="N32" s="58">
        <f t="shared" si="0"/>
        <v>32</v>
      </c>
      <c r="O32" s="58">
        <f t="shared" si="1"/>
        <v>61</v>
      </c>
      <c r="P32" s="59">
        <f t="shared" si="2"/>
        <v>0.65591397849462363</v>
      </c>
      <c r="Q32" s="6"/>
    </row>
    <row r="33" spans="1:18" ht="11.25" customHeight="1" x14ac:dyDescent="0.4">
      <c r="A33" s="34"/>
      <c r="B33" s="65" t="s">
        <v>314</v>
      </c>
      <c r="C33" s="66">
        <f>SUM(C18:C32)</f>
        <v>9582</v>
      </c>
      <c r="D33" s="105">
        <f t="shared" ref="D33:M33" si="4">SUM(D22:D32)</f>
        <v>2894</v>
      </c>
      <c r="E33" s="106">
        <f t="shared" si="4"/>
        <v>2074</v>
      </c>
      <c r="F33" s="106">
        <f t="shared" si="4"/>
        <v>1412</v>
      </c>
      <c r="G33" s="106">
        <f t="shared" si="4"/>
        <v>1208</v>
      </c>
      <c r="H33" s="106">
        <f t="shared" si="4"/>
        <v>1180</v>
      </c>
      <c r="I33" s="106">
        <f t="shared" si="4"/>
        <v>1209</v>
      </c>
      <c r="J33" s="106">
        <f t="shared" si="4"/>
        <v>1314</v>
      </c>
      <c r="K33" s="106">
        <f t="shared" si="4"/>
        <v>2042</v>
      </c>
      <c r="L33" s="106">
        <f t="shared" si="4"/>
        <v>2742</v>
      </c>
      <c r="M33" s="107">
        <f t="shared" si="4"/>
        <v>3445</v>
      </c>
      <c r="N33" s="70">
        <f t="shared" si="0"/>
        <v>1180</v>
      </c>
      <c r="O33" s="71">
        <f t="shared" si="1"/>
        <v>8402</v>
      </c>
      <c r="P33" s="72">
        <f t="shared" si="2"/>
        <v>0.87685243164266335</v>
      </c>
      <c r="Q33" s="6"/>
      <c r="R33" s="1"/>
    </row>
    <row r="34" spans="1:18" ht="11.25" customHeight="1" x14ac:dyDescent="0.4">
      <c r="A34" s="15" t="s">
        <v>9</v>
      </c>
      <c r="B34" s="17" t="s">
        <v>300</v>
      </c>
      <c r="C34" s="54">
        <f>SUM('By Neighborhood'!C190+'By Neighborhood'!C201+'By Neighborhood'!C212)</f>
        <v>640</v>
      </c>
      <c r="D34" s="73">
        <f>SUM('By Neighborhood'!D190+'By Neighborhood'!D201+'By Neighborhood'!D212)</f>
        <v>299</v>
      </c>
      <c r="E34" s="108">
        <f>SUM('By Neighborhood'!E190+'By Neighborhood'!E201+'By Neighborhood'!E212)</f>
        <v>206</v>
      </c>
      <c r="F34" s="108">
        <f>SUM('By Neighborhood'!F190+'By Neighborhood'!F201+'By Neighborhood'!F212)</f>
        <v>163</v>
      </c>
      <c r="G34" s="108">
        <f>SUM('By Neighborhood'!G190+'By Neighborhood'!G201+'By Neighborhood'!G212)</f>
        <v>146</v>
      </c>
      <c r="H34" s="108">
        <f>SUM('By Neighborhood'!H190+'By Neighborhood'!H201+'By Neighborhood'!H212)</f>
        <v>158</v>
      </c>
      <c r="I34" s="108">
        <f>SUM('By Neighborhood'!I190+'By Neighborhood'!I201+'By Neighborhood'!I212)</f>
        <v>157</v>
      </c>
      <c r="J34" s="108">
        <f>SUM('By Neighborhood'!J190+'By Neighborhood'!J201+'By Neighborhood'!J212)</f>
        <v>157</v>
      </c>
      <c r="K34" s="108">
        <f>SUM('By Neighborhood'!K190+'By Neighborhood'!K201+'By Neighborhood'!K212)</f>
        <v>196</v>
      </c>
      <c r="L34" s="108">
        <f>SUM('By Neighborhood'!L190+'By Neighborhood'!L201+'By Neighborhood'!L212)</f>
        <v>266</v>
      </c>
      <c r="M34" s="109">
        <f>SUM('By Neighborhood'!M190+'By Neighborhood'!M201+'By Neighborhood'!M212)</f>
        <v>311</v>
      </c>
      <c r="N34" s="58">
        <f t="shared" si="0"/>
        <v>146</v>
      </c>
      <c r="O34" s="58">
        <f t="shared" si="1"/>
        <v>494</v>
      </c>
      <c r="P34" s="59">
        <f t="shared" si="2"/>
        <v>0.77187499999999998</v>
      </c>
      <c r="Q34" s="6"/>
    </row>
    <row r="35" spans="1:18" ht="11.25" customHeight="1" x14ac:dyDescent="0.4">
      <c r="A35" s="17" t="s">
        <v>4</v>
      </c>
      <c r="B35" s="17" t="s">
        <v>301</v>
      </c>
      <c r="C35" s="54">
        <f>SUM('By Neighborhood'!C191+'By Neighborhood'!C202+'By Neighborhood'!C213)</f>
        <v>1965</v>
      </c>
      <c r="D35" s="32">
        <f>SUM('By Neighborhood'!D191+'By Neighborhood'!D202+'By Neighborhood'!D213)</f>
        <v>586</v>
      </c>
      <c r="E35" s="6">
        <f>SUM('By Neighborhood'!E191+'By Neighborhood'!E202+'By Neighborhood'!E213)</f>
        <v>504</v>
      </c>
      <c r="F35" s="6">
        <f>SUM('By Neighborhood'!F191+'By Neighborhood'!F202+'By Neighborhood'!F213)</f>
        <v>439</v>
      </c>
      <c r="G35" s="6">
        <f>SUM('By Neighborhood'!G191+'By Neighborhood'!G202+'By Neighborhood'!G213)</f>
        <v>434</v>
      </c>
      <c r="H35" s="6">
        <f>SUM('By Neighborhood'!H191+'By Neighborhood'!H202+'By Neighborhood'!H213)</f>
        <v>448</v>
      </c>
      <c r="I35" s="6">
        <f>SUM('By Neighborhood'!I191+'By Neighborhood'!I202+'By Neighborhood'!I213)</f>
        <v>426</v>
      </c>
      <c r="J35" s="6">
        <f>SUM('By Neighborhood'!J191+'By Neighborhood'!J202+'By Neighborhood'!J213)</f>
        <v>370</v>
      </c>
      <c r="K35" s="6">
        <f>SUM('By Neighborhood'!K191+'By Neighborhood'!K202+'By Neighborhood'!K213)</f>
        <v>431</v>
      </c>
      <c r="L35" s="6">
        <f>SUM('By Neighborhood'!L191+'By Neighborhood'!L202+'By Neighborhood'!L213)</f>
        <v>636</v>
      </c>
      <c r="M35" s="31">
        <f>SUM('By Neighborhood'!M191+'By Neighborhood'!M202+'By Neighborhood'!M213)</f>
        <v>700</v>
      </c>
      <c r="N35" s="58">
        <f t="shared" si="0"/>
        <v>370</v>
      </c>
      <c r="O35" s="58">
        <f t="shared" si="1"/>
        <v>1595</v>
      </c>
      <c r="P35" s="59">
        <f t="shared" si="2"/>
        <v>0.81170483460559795</v>
      </c>
      <c r="Q35" s="6"/>
    </row>
    <row r="36" spans="1:18" ht="11.25" customHeight="1" x14ac:dyDescent="0.4">
      <c r="A36" s="17"/>
      <c r="B36" s="17" t="s">
        <v>303</v>
      </c>
      <c r="C36" s="54">
        <f>SUM('By Neighborhood'!C193)</f>
        <v>385</v>
      </c>
      <c r="D36" s="32">
        <f>SUM('By Neighborhood'!D193)</f>
        <v>218</v>
      </c>
      <c r="E36" s="6">
        <f>SUM('By Neighborhood'!E193)</f>
        <v>205</v>
      </c>
      <c r="F36" s="6">
        <f>SUM('By Neighborhood'!F193)</f>
        <v>260</v>
      </c>
      <c r="G36" s="6">
        <f>SUM('By Neighborhood'!G193)</f>
        <v>151</v>
      </c>
      <c r="H36" s="6">
        <f>SUM('By Neighborhood'!H193)</f>
        <v>161</v>
      </c>
      <c r="I36" s="6">
        <f>SUM('By Neighborhood'!I193)</f>
        <v>145</v>
      </c>
      <c r="J36" s="6">
        <f>SUM('By Neighborhood'!J193)</f>
        <v>144</v>
      </c>
      <c r="K36" s="6">
        <f>SUM('By Neighborhood'!K193)</f>
        <v>143</v>
      </c>
      <c r="L36" s="6">
        <f>SUM('By Neighborhood'!L193)</f>
        <v>170</v>
      </c>
      <c r="M36" s="31">
        <f>SUM('By Neighborhood'!M193)</f>
        <v>245</v>
      </c>
      <c r="N36" s="58">
        <f t="shared" si="0"/>
        <v>143</v>
      </c>
      <c r="O36" s="58">
        <f t="shared" si="1"/>
        <v>242</v>
      </c>
      <c r="P36" s="59">
        <f t="shared" si="2"/>
        <v>0.62857142857142856</v>
      </c>
      <c r="Q36" s="6"/>
    </row>
    <row r="37" spans="1:18" ht="11.25" customHeight="1" x14ac:dyDescent="0.4">
      <c r="A37" s="17"/>
      <c r="B37" s="17" t="s">
        <v>306</v>
      </c>
      <c r="C37" s="54">
        <f>SUM('By Neighborhood'!C192)</f>
        <v>1380</v>
      </c>
      <c r="D37" s="32">
        <f>SUM('By Neighborhood'!D192)</f>
        <v>1195</v>
      </c>
      <c r="E37" s="6">
        <f>SUM('By Neighborhood'!E192)</f>
        <v>949</v>
      </c>
      <c r="F37" s="6">
        <f>SUM('By Neighborhood'!F192)</f>
        <v>670</v>
      </c>
      <c r="G37" s="6">
        <f>SUM('By Neighborhood'!G192)</f>
        <v>672</v>
      </c>
      <c r="H37" s="6">
        <f>SUM('By Neighborhood'!H192)</f>
        <v>682</v>
      </c>
      <c r="I37" s="58">
        <f>SUM('By Neighborhood'!I192)</f>
        <v>650</v>
      </c>
      <c r="J37" s="58">
        <f>SUM('By Neighborhood'!J192)</f>
        <v>656</v>
      </c>
      <c r="K37" s="58">
        <f>SUM('By Neighborhood'!K192)</f>
        <v>665</v>
      </c>
      <c r="L37" s="58">
        <f>SUM('By Neighborhood'!L192)</f>
        <v>767</v>
      </c>
      <c r="M37" s="60">
        <f>SUM('By Neighborhood'!M192)</f>
        <v>828</v>
      </c>
      <c r="N37" s="58">
        <f t="shared" si="0"/>
        <v>650</v>
      </c>
      <c r="O37" s="58">
        <f t="shared" si="1"/>
        <v>730</v>
      </c>
      <c r="P37" s="59">
        <f t="shared" si="2"/>
        <v>0.52898550724637683</v>
      </c>
      <c r="Q37" s="6"/>
    </row>
    <row r="38" spans="1:18" ht="11.25" customHeight="1" x14ac:dyDescent="0.4">
      <c r="A38" s="17"/>
      <c r="B38" s="110" t="s">
        <v>316</v>
      </c>
      <c r="C38" s="111">
        <f>'By Neighborhood'!C214</f>
        <v>0</v>
      </c>
      <c r="D38" s="112"/>
      <c r="E38" s="113"/>
      <c r="F38" s="113" t="s">
        <v>326</v>
      </c>
      <c r="G38" s="113"/>
      <c r="H38" s="113"/>
      <c r="I38" s="113"/>
      <c r="J38" s="113"/>
      <c r="K38" s="113"/>
      <c r="L38" s="113"/>
      <c r="M38" s="114"/>
      <c r="N38" s="115"/>
      <c r="O38" s="115"/>
      <c r="P38" s="116"/>
      <c r="Q38" s="6"/>
    </row>
    <row r="39" spans="1:18" ht="11.25" customHeight="1" x14ac:dyDescent="0.4">
      <c r="A39" s="17"/>
      <c r="B39" s="17" t="s">
        <v>307</v>
      </c>
      <c r="C39" s="54">
        <f>SUM('By Neighborhood'!C204)</f>
        <v>882</v>
      </c>
      <c r="D39" s="32">
        <f>SUM('By Neighborhood'!D204)</f>
        <v>397</v>
      </c>
      <c r="E39" s="6">
        <f>SUM('By Neighborhood'!E204)</f>
        <v>201</v>
      </c>
      <c r="F39" s="6">
        <f>SUM('By Neighborhood'!F204)</f>
        <v>170</v>
      </c>
      <c r="G39" s="6">
        <f>SUM('By Neighborhood'!G204)</f>
        <v>107</v>
      </c>
      <c r="H39" s="6">
        <f>SUM('By Neighborhood'!H204)</f>
        <v>116</v>
      </c>
      <c r="I39" s="6">
        <f>SUM('By Neighborhood'!I204)</f>
        <v>102</v>
      </c>
      <c r="J39" s="6">
        <f>SUM('By Neighborhood'!J204)</f>
        <v>78</v>
      </c>
      <c r="K39" s="6">
        <f>SUM('By Neighborhood'!K204)</f>
        <v>97</v>
      </c>
      <c r="L39" s="6">
        <f>SUM('By Neighborhood'!L204)</f>
        <v>207</v>
      </c>
      <c r="M39" s="31">
        <f>SUM('By Neighborhood'!M204)</f>
        <v>273</v>
      </c>
      <c r="N39" s="58">
        <f t="shared" ref="N39:N48" si="5">MIN(D39:M39)</f>
        <v>78</v>
      </c>
      <c r="O39" s="58">
        <f t="shared" ref="O39:O48" si="6">C39-N39</f>
        <v>804</v>
      </c>
      <c r="P39" s="59">
        <f t="shared" ref="P39:P48" si="7">O39/C39</f>
        <v>0.91156462585034015</v>
      </c>
      <c r="Q39" s="6"/>
    </row>
    <row r="40" spans="1:18" ht="11.25" customHeight="1" x14ac:dyDescent="0.4">
      <c r="A40" s="17"/>
      <c r="B40" s="17" t="s">
        <v>308</v>
      </c>
      <c r="C40" s="54">
        <f>SUM('By Neighborhood'!C194+'By Neighborhood'!C205)</f>
        <v>113</v>
      </c>
      <c r="D40" s="32">
        <f>SUM('By Neighborhood'!D194+'By Neighborhood'!D205)</f>
        <v>78</v>
      </c>
      <c r="E40" s="6">
        <f>SUM('By Neighborhood'!E194+'By Neighborhood'!E205)</f>
        <v>71</v>
      </c>
      <c r="F40" s="6">
        <f>SUM('By Neighborhood'!F194+'By Neighborhood'!F205)</f>
        <v>69</v>
      </c>
      <c r="G40" s="6">
        <f>SUM('By Neighborhood'!G194+'By Neighborhood'!G205)</f>
        <v>62</v>
      </c>
      <c r="H40" s="6">
        <f>SUM('By Neighborhood'!H194+'By Neighborhood'!H205)</f>
        <v>69</v>
      </c>
      <c r="I40" s="6">
        <f>SUM('By Neighborhood'!I194+'By Neighborhood'!I205)</f>
        <v>71</v>
      </c>
      <c r="J40" s="6">
        <f>SUM('By Neighborhood'!J194+'By Neighborhood'!J205)</f>
        <v>62</v>
      </c>
      <c r="K40" s="6">
        <f>SUM('By Neighborhood'!K194+'By Neighborhood'!K205)</f>
        <v>65</v>
      </c>
      <c r="L40" s="6">
        <f>SUM('By Neighborhood'!L194+'By Neighborhood'!L205)</f>
        <v>77</v>
      </c>
      <c r="M40" s="31">
        <f>SUM('By Neighborhood'!M194+'By Neighborhood'!M205)</f>
        <v>75</v>
      </c>
      <c r="N40" s="58">
        <f t="shared" si="5"/>
        <v>62</v>
      </c>
      <c r="O40" s="58">
        <f t="shared" si="6"/>
        <v>51</v>
      </c>
      <c r="P40" s="59">
        <f t="shared" si="7"/>
        <v>0.45132743362831856</v>
      </c>
      <c r="Q40" s="6"/>
    </row>
    <row r="41" spans="1:18" ht="11.25" customHeight="1" x14ac:dyDescent="0.4">
      <c r="A41" s="17"/>
      <c r="B41" s="17" t="s">
        <v>309</v>
      </c>
      <c r="C41" s="54">
        <f>SUM('By Neighborhood'!C195+'By Neighborhood'!C206+'By Neighborhood'!C217)</f>
        <v>484</v>
      </c>
      <c r="D41" s="32">
        <f>SUM('By Neighborhood'!D195+'By Neighborhood'!D206+'By Neighborhood'!D217)</f>
        <v>253</v>
      </c>
      <c r="E41" s="6">
        <f>SUM('By Neighborhood'!E195+'By Neighborhood'!E206+'By Neighborhood'!E217)</f>
        <v>206</v>
      </c>
      <c r="F41" s="6">
        <f>SUM('By Neighborhood'!F195+'By Neighborhood'!F206+'By Neighborhood'!F217)</f>
        <v>131</v>
      </c>
      <c r="G41" s="6">
        <f>SUM('By Neighborhood'!G195+'By Neighborhood'!G206+'By Neighborhood'!G217)</f>
        <v>125</v>
      </c>
      <c r="H41" s="6">
        <f>SUM('By Neighborhood'!H195+'By Neighborhood'!H206+'By Neighborhood'!H217)</f>
        <v>121</v>
      </c>
      <c r="I41" s="6">
        <f>SUM('By Neighborhood'!I195+'By Neighborhood'!I206+'By Neighborhood'!I217)</f>
        <v>114</v>
      </c>
      <c r="J41" s="6">
        <f>SUM('By Neighborhood'!J195+'By Neighborhood'!J206+'By Neighborhood'!J217)</f>
        <v>120</v>
      </c>
      <c r="K41" s="6">
        <f>SUM('By Neighborhood'!K195+'By Neighborhood'!K206+'By Neighborhood'!K217)</f>
        <v>148</v>
      </c>
      <c r="L41" s="6">
        <f>SUM('By Neighborhood'!L195+'By Neighborhood'!L206+'By Neighborhood'!L217)</f>
        <v>193</v>
      </c>
      <c r="M41" s="31">
        <f>SUM('By Neighborhood'!M195+'By Neighborhood'!M206+'By Neighborhood'!M217)</f>
        <v>195</v>
      </c>
      <c r="N41" s="58">
        <f t="shared" si="5"/>
        <v>114</v>
      </c>
      <c r="O41" s="58">
        <f t="shared" si="6"/>
        <v>370</v>
      </c>
      <c r="P41" s="59">
        <f t="shared" si="7"/>
        <v>0.76446280991735538</v>
      </c>
      <c r="Q41" s="6"/>
    </row>
    <row r="42" spans="1:18" ht="11.25" customHeight="1" x14ac:dyDescent="0.4">
      <c r="A42" s="17"/>
      <c r="B42" s="17" t="s">
        <v>310</v>
      </c>
      <c r="C42" s="54">
        <f>SUM('By Neighborhood'!C196+'By Neighborhood'!C207+'By Neighborhood'!C218)</f>
        <v>296</v>
      </c>
      <c r="D42" s="32">
        <f>SUM('By Neighborhood'!D196+'By Neighborhood'!D207+'By Neighborhood'!D218)</f>
        <v>163</v>
      </c>
      <c r="E42" s="6">
        <f>SUM('By Neighborhood'!E196+'By Neighborhood'!E207+'By Neighborhood'!E218)</f>
        <v>110</v>
      </c>
      <c r="F42" s="6">
        <f>SUM('By Neighborhood'!F196+'By Neighborhood'!F207+'By Neighborhood'!F218)</f>
        <v>81</v>
      </c>
      <c r="G42" s="6">
        <f>SUM('By Neighborhood'!G196+'By Neighborhood'!G207+'By Neighborhood'!G218)</f>
        <v>73</v>
      </c>
      <c r="H42" s="6">
        <f>SUM('By Neighborhood'!H196+'By Neighborhood'!H207+'By Neighborhood'!H218)</f>
        <v>122</v>
      </c>
      <c r="I42" s="6">
        <f>SUM('By Neighborhood'!I196+'By Neighborhood'!I207+'By Neighborhood'!I218)</f>
        <v>78</v>
      </c>
      <c r="J42" s="6">
        <f>SUM('By Neighborhood'!J196+'By Neighborhood'!J207+'By Neighborhood'!J218)</f>
        <v>88</v>
      </c>
      <c r="K42" s="6">
        <f>SUM('By Neighborhood'!K196+'By Neighborhood'!K207+'By Neighborhood'!K218)</f>
        <v>112</v>
      </c>
      <c r="L42" s="6">
        <f>SUM('By Neighborhood'!L196+'By Neighborhood'!L207+'By Neighborhood'!L218)</f>
        <v>138</v>
      </c>
      <c r="M42" s="31">
        <f>SUM('By Neighborhood'!M196+'By Neighborhood'!M207+'By Neighborhood'!M218)</f>
        <v>156</v>
      </c>
      <c r="N42" s="58">
        <f t="shared" si="5"/>
        <v>73</v>
      </c>
      <c r="O42" s="58">
        <f t="shared" si="6"/>
        <v>223</v>
      </c>
      <c r="P42" s="59">
        <f t="shared" si="7"/>
        <v>0.7533783783783784</v>
      </c>
      <c r="Q42" s="6"/>
    </row>
    <row r="43" spans="1:18" ht="11.25" customHeight="1" x14ac:dyDescent="0.4">
      <c r="A43" s="17"/>
      <c r="B43" s="17" t="s">
        <v>311</v>
      </c>
      <c r="C43" s="54">
        <f>SUM('By Neighborhood'!C197+'By Neighborhood'!C208)</f>
        <v>15</v>
      </c>
      <c r="D43" s="32">
        <f>SUM('By Neighborhood'!D197+'By Neighborhood'!D208)</f>
        <v>10</v>
      </c>
      <c r="E43" s="6">
        <f>SUM('By Neighborhood'!E197+'By Neighborhood'!E208)</f>
        <v>12</v>
      </c>
      <c r="F43" s="6">
        <f>SUM('By Neighborhood'!F197+'By Neighborhood'!F208)</f>
        <v>9</v>
      </c>
      <c r="G43" s="6">
        <f>SUM('By Neighborhood'!G197+'By Neighborhood'!G208)</f>
        <v>9</v>
      </c>
      <c r="H43" s="6">
        <f>SUM('By Neighborhood'!H197+'By Neighborhood'!H208)</f>
        <v>12</v>
      </c>
      <c r="I43" s="6">
        <f>SUM('By Neighborhood'!I197+'By Neighborhood'!I208)</f>
        <v>9</v>
      </c>
      <c r="J43" s="6">
        <f>SUM('By Neighborhood'!J197+'By Neighborhood'!J208)</f>
        <v>13</v>
      </c>
      <c r="K43" s="6">
        <f>SUM('By Neighborhood'!K197+'By Neighborhood'!K208)</f>
        <v>13</v>
      </c>
      <c r="L43" s="6">
        <f>SUM('By Neighborhood'!L197+'By Neighborhood'!L208)</f>
        <v>13</v>
      </c>
      <c r="M43" s="31">
        <f>SUM('By Neighborhood'!M197+'By Neighborhood'!M208)</f>
        <v>13</v>
      </c>
      <c r="N43" s="58">
        <f t="shared" si="5"/>
        <v>9</v>
      </c>
      <c r="O43" s="58">
        <f t="shared" si="6"/>
        <v>6</v>
      </c>
      <c r="P43" s="59">
        <f t="shared" si="7"/>
        <v>0.4</v>
      </c>
      <c r="Q43" s="6"/>
    </row>
    <row r="44" spans="1:18" ht="11.25" customHeight="1" x14ac:dyDescent="0.4">
      <c r="A44" s="17"/>
      <c r="B44" s="17" t="s">
        <v>312</v>
      </c>
      <c r="C44" s="54">
        <f>SUM('By Neighborhood'!C198+'By Neighborhood'!C209+'By Neighborhood'!C220)</f>
        <v>3</v>
      </c>
      <c r="D44" s="32">
        <f>SUM('By Neighborhood'!D198+'By Neighborhood'!D209+'By Neighborhood'!D220)</f>
        <v>0</v>
      </c>
      <c r="E44" s="6">
        <f>SUM('By Neighborhood'!E198+'By Neighborhood'!E209+'By Neighborhood'!E220)</f>
        <v>0</v>
      </c>
      <c r="F44" s="6">
        <f>SUM('By Neighborhood'!F198+'By Neighborhood'!F209+'By Neighborhood'!F220)</f>
        <v>0</v>
      </c>
      <c r="G44" s="6">
        <f>SUM('By Neighborhood'!G198+'By Neighborhood'!G209+'By Neighborhood'!G220)</f>
        <v>1</v>
      </c>
      <c r="H44" s="6">
        <f>SUM('By Neighborhood'!H198+'By Neighborhood'!H209+'By Neighborhood'!H220)</f>
        <v>1</v>
      </c>
      <c r="I44" s="6">
        <f>SUM('By Neighborhood'!I198+'By Neighborhood'!I209+'By Neighborhood'!I220)</f>
        <v>1</v>
      </c>
      <c r="J44" s="6">
        <f>SUM('By Neighborhood'!J198+'By Neighborhood'!J209+'By Neighborhood'!J220)</f>
        <v>1</v>
      </c>
      <c r="K44" s="6">
        <f>SUM('By Neighborhood'!K198+'By Neighborhood'!K209+'By Neighborhood'!K220)</f>
        <v>0</v>
      </c>
      <c r="L44" s="6">
        <f>SUM('By Neighborhood'!L198+'By Neighborhood'!L209+'By Neighborhood'!L220)</f>
        <v>0</v>
      </c>
      <c r="M44" s="31">
        <f>SUM('By Neighborhood'!M198+'By Neighborhood'!M209+'By Neighborhood'!M220)</f>
        <v>0</v>
      </c>
      <c r="N44" s="58">
        <f t="shared" si="5"/>
        <v>0</v>
      </c>
      <c r="O44" s="58">
        <f t="shared" si="6"/>
        <v>3</v>
      </c>
      <c r="P44" s="59">
        <f t="shared" si="7"/>
        <v>1</v>
      </c>
      <c r="Q44" s="6"/>
    </row>
    <row r="45" spans="1:18" ht="11.25" customHeight="1" x14ac:dyDescent="0.4">
      <c r="A45" s="17"/>
      <c r="B45" s="17" t="s">
        <v>313</v>
      </c>
      <c r="C45" s="54">
        <f>SUM('By Neighborhood'!C199+'By Neighborhood'!C210)</f>
        <v>14</v>
      </c>
      <c r="D45" s="76">
        <f>SUM('By Neighborhood'!D199+'By Neighborhood'!D210)</f>
        <v>9</v>
      </c>
      <c r="E45" s="117">
        <f>SUM('By Neighborhood'!E199+'By Neighborhood'!E210)</f>
        <v>9</v>
      </c>
      <c r="F45" s="117">
        <f>SUM('By Neighborhood'!F199+'By Neighborhood'!F210)</f>
        <v>5</v>
      </c>
      <c r="G45" s="117">
        <f>SUM('By Neighborhood'!G199+'By Neighborhood'!G210)</f>
        <v>6</v>
      </c>
      <c r="H45" s="117">
        <f>SUM('By Neighborhood'!H199+'By Neighborhood'!H210)</f>
        <v>7</v>
      </c>
      <c r="I45" s="117">
        <f>SUM('By Neighborhood'!I199+'By Neighborhood'!I210)</f>
        <v>9</v>
      </c>
      <c r="J45" s="117">
        <f>SUM('By Neighborhood'!J199+'By Neighborhood'!J210)</f>
        <v>9</v>
      </c>
      <c r="K45" s="117">
        <f>SUM('By Neighborhood'!K199+'By Neighborhood'!K210)</f>
        <v>3</v>
      </c>
      <c r="L45" s="117">
        <f>SUM('By Neighborhood'!L199+'By Neighborhood'!L210)</f>
        <v>5</v>
      </c>
      <c r="M45" s="35">
        <f>SUM('By Neighborhood'!M199+'By Neighborhood'!M210)</f>
        <v>6</v>
      </c>
      <c r="N45" s="58">
        <f t="shared" si="5"/>
        <v>3</v>
      </c>
      <c r="O45" s="58">
        <f t="shared" si="6"/>
        <v>11</v>
      </c>
      <c r="P45" s="59">
        <f t="shared" si="7"/>
        <v>0.7857142857142857</v>
      </c>
      <c r="Q45" s="6"/>
    </row>
    <row r="46" spans="1:18" ht="11.25" customHeight="1" x14ac:dyDescent="0.4">
      <c r="A46" s="34"/>
      <c r="B46" s="65" t="s">
        <v>314</v>
      </c>
      <c r="C46" s="66">
        <f t="shared" ref="C46:M46" si="8">SUM(C34:C45)</f>
        <v>6177</v>
      </c>
      <c r="D46" s="118">
        <f t="shared" si="8"/>
        <v>3208</v>
      </c>
      <c r="E46" s="119">
        <f t="shared" si="8"/>
        <v>2473</v>
      </c>
      <c r="F46" s="119">
        <f t="shared" si="8"/>
        <v>1997</v>
      </c>
      <c r="G46" s="119">
        <f t="shared" si="8"/>
        <v>1786</v>
      </c>
      <c r="H46" s="119">
        <f t="shared" si="8"/>
        <v>1897</v>
      </c>
      <c r="I46" s="119">
        <f t="shared" si="8"/>
        <v>1762</v>
      </c>
      <c r="J46" s="119">
        <f t="shared" si="8"/>
        <v>1698</v>
      </c>
      <c r="K46" s="119">
        <f t="shared" si="8"/>
        <v>1873</v>
      </c>
      <c r="L46" s="119">
        <f t="shared" si="8"/>
        <v>2472</v>
      </c>
      <c r="M46" s="120">
        <f t="shared" si="8"/>
        <v>2802</v>
      </c>
      <c r="N46" s="104">
        <f t="shared" si="5"/>
        <v>1698</v>
      </c>
      <c r="O46" s="71">
        <f t="shared" si="6"/>
        <v>4479</v>
      </c>
      <c r="P46" s="72">
        <f t="shared" si="7"/>
        <v>0.72510927634774158</v>
      </c>
      <c r="Q46" s="6"/>
    </row>
    <row r="47" spans="1:18" ht="11.25" customHeight="1" x14ac:dyDescent="0.4">
      <c r="A47" s="55" t="s">
        <v>10</v>
      </c>
      <c r="B47" s="121" t="s">
        <v>300</v>
      </c>
      <c r="C47" s="78">
        <f>SUM('By Neighborhood'!C223)</f>
        <v>240</v>
      </c>
      <c r="D47" s="79">
        <f>SUM('By Neighborhood'!D223)</f>
        <v>115</v>
      </c>
      <c r="E47" s="79">
        <f>SUM('By Neighborhood'!E223)</f>
        <v>55</v>
      </c>
      <c r="F47" s="79">
        <f>SUM('By Neighborhood'!F223)</f>
        <v>39</v>
      </c>
      <c r="G47" s="79">
        <f>SUM('By Neighborhood'!G223)</f>
        <v>34</v>
      </c>
      <c r="H47" s="79">
        <f>SUM('By Neighborhood'!H223)</f>
        <v>40</v>
      </c>
      <c r="I47" s="79">
        <f>SUM('By Neighborhood'!I223)</f>
        <v>27</v>
      </c>
      <c r="J47" s="79">
        <f>SUM('By Neighborhood'!J223)</f>
        <v>33</v>
      </c>
      <c r="K47" s="79">
        <f>SUM('By Neighborhood'!K223)</f>
        <v>47</v>
      </c>
      <c r="L47" s="79">
        <f>SUM('By Neighborhood'!L223)</f>
        <v>68</v>
      </c>
      <c r="M47" s="122">
        <f>SUM('By Neighborhood'!M223)</f>
        <v>116</v>
      </c>
      <c r="N47" s="79">
        <f t="shared" si="5"/>
        <v>27</v>
      </c>
      <c r="O47" s="79">
        <f t="shared" si="6"/>
        <v>213</v>
      </c>
      <c r="P47" s="81">
        <f t="shared" si="7"/>
        <v>0.88749999999999996</v>
      </c>
      <c r="Q47" s="6"/>
    </row>
    <row r="48" spans="1:18" ht="11.25" customHeight="1" x14ac:dyDescent="0.4">
      <c r="A48" s="54" t="s">
        <v>12</v>
      </c>
      <c r="B48" s="27" t="s">
        <v>301</v>
      </c>
      <c r="C48" s="82">
        <f>SUM('By Neighborhood'!C224)</f>
        <v>1087</v>
      </c>
      <c r="D48" s="74">
        <f>SUM('By Neighborhood'!D224)</f>
        <v>343</v>
      </c>
      <c r="E48" s="74">
        <f>SUM('By Neighborhood'!E224)</f>
        <v>234</v>
      </c>
      <c r="F48" s="74">
        <f>SUM('By Neighborhood'!F224)</f>
        <v>179</v>
      </c>
      <c r="G48" s="74">
        <f>SUM('By Neighborhood'!G224)</f>
        <v>185</v>
      </c>
      <c r="H48" s="74">
        <f>SUM('By Neighborhood'!H224)</f>
        <v>196</v>
      </c>
      <c r="I48" s="74">
        <f>SUM('By Neighborhood'!I224)</f>
        <v>204</v>
      </c>
      <c r="J48" s="74">
        <f>SUM('By Neighborhood'!J224)</f>
        <v>207</v>
      </c>
      <c r="K48" s="74">
        <f>SUM('By Neighborhood'!K224)</f>
        <v>279</v>
      </c>
      <c r="L48" s="74">
        <f>SUM('By Neighborhood'!L224)</f>
        <v>473</v>
      </c>
      <c r="M48" s="123">
        <f>SUM('By Neighborhood'!M224)</f>
        <v>619</v>
      </c>
      <c r="N48" s="74">
        <f t="shared" si="5"/>
        <v>179</v>
      </c>
      <c r="O48" s="74">
        <f t="shared" si="6"/>
        <v>908</v>
      </c>
      <c r="P48" s="75">
        <f t="shared" si="7"/>
        <v>0.83532658693652251</v>
      </c>
      <c r="Q48" s="6"/>
    </row>
    <row r="49" spans="1:17" ht="11.25" customHeight="1" x14ac:dyDescent="0.4">
      <c r="A49" s="54" t="s">
        <v>5</v>
      </c>
      <c r="B49" s="27" t="s">
        <v>303</v>
      </c>
      <c r="C49" s="27"/>
      <c r="D49" s="84"/>
      <c r="E49" s="84"/>
      <c r="F49" s="84"/>
      <c r="G49" s="84"/>
      <c r="H49" s="84"/>
      <c r="I49" s="84"/>
      <c r="J49" s="84"/>
      <c r="K49" s="84"/>
      <c r="L49" s="84"/>
      <c r="M49" s="124"/>
      <c r="N49" s="84"/>
      <c r="O49" s="84"/>
      <c r="P49" s="85"/>
      <c r="Q49" s="6"/>
    </row>
    <row r="50" spans="1:17" ht="11.25" customHeight="1" x14ac:dyDescent="0.4">
      <c r="A50" s="17"/>
      <c r="B50" s="27" t="s">
        <v>307</v>
      </c>
      <c r="C50" s="82">
        <f>SUM('By Neighborhood'!C226)</f>
        <v>241</v>
      </c>
      <c r="D50" s="74">
        <f>SUM('By Neighborhood'!D226)</f>
        <v>97</v>
      </c>
      <c r="E50" s="74">
        <f>SUM('By Neighborhood'!E226)</f>
        <v>50</v>
      </c>
      <c r="F50" s="74">
        <f>SUM('By Neighborhood'!F226)</f>
        <v>32</v>
      </c>
      <c r="G50" s="74">
        <f>SUM('By Neighborhood'!G226)</f>
        <v>26</v>
      </c>
      <c r="H50" s="74">
        <f>SUM('By Neighborhood'!H226)</f>
        <v>38</v>
      </c>
      <c r="I50" s="74">
        <f>SUM('By Neighborhood'!I226)</f>
        <v>42</v>
      </c>
      <c r="J50" s="74">
        <f>SUM('By Neighborhood'!J226)</f>
        <v>43</v>
      </c>
      <c r="K50" s="74">
        <f>SUM('By Neighborhood'!K226)</f>
        <v>53</v>
      </c>
      <c r="L50" s="74">
        <f>SUM('By Neighborhood'!L226)</f>
        <v>78</v>
      </c>
      <c r="M50" s="123">
        <f>SUM('By Neighborhood'!M226)</f>
        <v>126</v>
      </c>
      <c r="N50" s="74">
        <f t="shared" ref="N50:N57" si="9">MIN(D50:M50)</f>
        <v>26</v>
      </c>
      <c r="O50" s="74">
        <f t="shared" ref="O50:O57" si="10">C50-N50</f>
        <v>215</v>
      </c>
      <c r="P50" s="75">
        <f t="shared" ref="P50:P57" si="11">O50/C50</f>
        <v>0.89211618257261416</v>
      </c>
      <c r="Q50" s="6"/>
    </row>
    <row r="51" spans="1:17" ht="11.25" customHeight="1" x14ac:dyDescent="0.4">
      <c r="A51" s="17"/>
      <c r="B51" s="27" t="s">
        <v>308</v>
      </c>
      <c r="C51" s="82">
        <f>SUM('By Neighborhood'!C227)</f>
        <v>87</v>
      </c>
      <c r="D51" s="74">
        <f>SUM('By Neighborhood'!D227)</f>
        <v>70</v>
      </c>
      <c r="E51" s="74">
        <f>SUM('By Neighborhood'!E227)</f>
        <v>60</v>
      </c>
      <c r="F51" s="74">
        <f>SUM('By Neighborhood'!F227)</f>
        <v>55</v>
      </c>
      <c r="G51" s="74">
        <f>SUM('By Neighborhood'!G227)</f>
        <v>59</v>
      </c>
      <c r="H51" s="74">
        <f>SUM('By Neighborhood'!H227)</f>
        <v>54</v>
      </c>
      <c r="I51" s="74">
        <f>SUM('By Neighborhood'!I227)</f>
        <v>56</v>
      </c>
      <c r="J51" s="74">
        <f>SUM('By Neighborhood'!J227)</f>
        <v>52</v>
      </c>
      <c r="K51" s="74">
        <f>SUM('By Neighborhood'!K227)</f>
        <v>56</v>
      </c>
      <c r="L51" s="74">
        <f>SUM('By Neighborhood'!L227)</f>
        <v>65</v>
      </c>
      <c r="M51" s="123">
        <f>SUM('By Neighborhood'!M227)</f>
        <v>73</v>
      </c>
      <c r="N51" s="74">
        <f t="shared" si="9"/>
        <v>52</v>
      </c>
      <c r="O51" s="74">
        <f t="shared" si="10"/>
        <v>35</v>
      </c>
      <c r="P51" s="75">
        <f t="shared" si="11"/>
        <v>0.40229885057471265</v>
      </c>
      <c r="Q51" s="6"/>
    </row>
    <row r="52" spans="1:17" ht="11.25" customHeight="1" x14ac:dyDescent="0.4">
      <c r="A52" s="17"/>
      <c r="B52" s="27" t="s">
        <v>309</v>
      </c>
      <c r="C52" s="82">
        <f>SUM('By Neighborhood'!C228)</f>
        <v>202</v>
      </c>
      <c r="D52" s="74">
        <f>SUM('By Neighborhood'!D228)</f>
        <v>122</v>
      </c>
      <c r="E52" s="74">
        <f>SUM('By Neighborhood'!E228)</f>
        <v>112</v>
      </c>
      <c r="F52" s="74">
        <f>SUM('By Neighborhood'!F228)</f>
        <v>110</v>
      </c>
      <c r="G52" s="74">
        <f>SUM('By Neighborhood'!G228)</f>
        <v>115</v>
      </c>
      <c r="H52" s="74">
        <f>SUM('By Neighborhood'!H228)</f>
        <v>115</v>
      </c>
      <c r="I52" s="74">
        <f>SUM('By Neighborhood'!I228)</f>
        <v>114</v>
      </c>
      <c r="J52" s="74">
        <f>SUM('By Neighborhood'!J228)</f>
        <v>109</v>
      </c>
      <c r="K52" s="74">
        <f>SUM('By Neighborhood'!K228)</f>
        <v>108</v>
      </c>
      <c r="L52" s="74">
        <f>SUM('By Neighborhood'!L228)</f>
        <v>121</v>
      </c>
      <c r="M52" s="123">
        <f>SUM('By Neighborhood'!M228)</f>
        <v>133</v>
      </c>
      <c r="N52" s="74">
        <f t="shared" si="9"/>
        <v>108</v>
      </c>
      <c r="O52" s="74">
        <f t="shared" si="10"/>
        <v>94</v>
      </c>
      <c r="P52" s="75">
        <f t="shared" si="11"/>
        <v>0.46534653465346537</v>
      </c>
      <c r="Q52" s="6"/>
    </row>
    <row r="53" spans="1:17" ht="11.25" customHeight="1" x14ac:dyDescent="0.4">
      <c r="A53" s="54"/>
      <c r="B53" s="27" t="s">
        <v>310</v>
      </c>
      <c r="C53" s="82">
        <f>SUM('By Neighborhood'!C229)</f>
        <v>45</v>
      </c>
      <c r="D53" s="74">
        <f>SUM('By Neighborhood'!D229)</f>
        <v>11</v>
      </c>
      <c r="E53" s="74">
        <f>SUM('By Neighborhood'!E229)</f>
        <v>5</v>
      </c>
      <c r="F53" s="74">
        <f>SUM('By Neighborhood'!F229)</f>
        <v>3</v>
      </c>
      <c r="G53" s="74">
        <f>SUM('By Neighborhood'!G229)</f>
        <v>5</v>
      </c>
      <c r="H53" s="74">
        <f>SUM('By Neighborhood'!H229)</f>
        <v>4</v>
      </c>
      <c r="I53" s="74">
        <f>SUM('By Neighborhood'!I229)</f>
        <v>5</v>
      </c>
      <c r="J53" s="74">
        <f>SUM('By Neighborhood'!J229)</f>
        <v>4</v>
      </c>
      <c r="K53" s="74">
        <f>SUM('By Neighborhood'!K229)</f>
        <v>4</v>
      </c>
      <c r="L53" s="74">
        <f>SUM('By Neighborhood'!L229)</f>
        <v>15</v>
      </c>
      <c r="M53" s="123">
        <f>SUM('By Neighborhood'!M229)</f>
        <v>23</v>
      </c>
      <c r="N53" s="74">
        <f t="shared" si="9"/>
        <v>3</v>
      </c>
      <c r="O53" s="74">
        <f t="shared" si="10"/>
        <v>42</v>
      </c>
      <c r="P53" s="75">
        <f t="shared" si="11"/>
        <v>0.93333333333333335</v>
      </c>
      <c r="Q53" s="6"/>
    </row>
    <row r="54" spans="1:17" ht="11.25" customHeight="1" x14ac:dyDescent="0.4">
      <c r="A54" s="54"/>
      <c r="B54" s="27" t="s">
        <v>311</v>
      </c>
      <c r="C54" s="82">
        <f>SUM('By Neighborhood'!C230)</f>
        <v>13</v>
      </c>
      <c r="D54" s="74">
        <f>SUM('By Neighborhood'!D230)</f>
        <v>5</v>
      </c>
      <c r="E54" s="74">
        <f>SUM('By Neighborhood'!E230)</f>
        <v>5</v>
      </c>
      <c r="F54" s="74">
        <f>SUM('By Neighborhood'!F230)</f>
        <v>3</v>
      </c>
      <c r="G54" s="74">
        <f>SUM('By Neighborhood'!G230)</f>
        <v>3</v>
      </c>
      <c r="H54" s="74">
        <f>SUM('By Neighborhood'!H230)</f>
        <v>4</v>
      </c>
      <c r="I54" s="74">
        <f>SUM('By Neighborhood'!I230)</f>
        <v>4</v>
      </c>
      <c r="J54" s="74">
        <f>SUM('By Neighborhood'!J230)</f>
        <v>4</v>
      </c>
      <c r="K54" s="74">
        <f>SUM('By Neighborhood'!K230)</f>
        <v>3</v>
      </c>
      <c r="L54" s="74">
        <f>SUM('By Neighborhood'!L230)</f>
        <v>3</v>
      </c>
      <c r="M54" s="123">
        <f>SUM('By Neighborhood'!M230)</f>
        <v>3</v>
      </c>
      <c r="N54" s="74">
        <f t="shared" si="9"/>
        <v>3</v>
      </c>
      <c r="O54" s="74">
        <f t="shared" si="10"/>
        <v>10</v>
      </c>
      <c r="P54" s="75">
        <f t="shared" si="11"/>
        <v>0.76923076923076927</v>
      </c>
      <c r="Q54" s="6"/>
    </row>
    <row r="55" spans="1:17" ht="11.25" customHeight="1" x14ac:dyDescent="0.4">
      <c r="A55" s="54"/>
      <c r="B55" s="27" t="s">
        <v>312</v>
      </c>
      <c r="C55" s="82">
        <f>SUM('By Neighborhood'!C231)</f>
        <v>14</v>
      </c>
      <c r="D55" s="74">
        <f>SUM('By Neighborhood'!D231)</f>
        <v>4</v>
      </c>
      <c r="E55" s="74">
        <f>SUM('By Neighborhood'!E231)</f>
        <v>5</v>
      </c>
      <c r="F55" s="74">
        <f>SUM('By Neighborhood'!F231)</f>
        <v>1</v>
      </c>
      <c r="G55" s="74">
        <f>SUM('By Neighborhood'!G231)</f>
        <v>4</v>
      </c>
      <c r="H55" s="74">
        <f>SUM('By Neighborhood'!H231)</f>
        <v>4</v>
      </c>
      <c r="I55" s="74">
        <f>SUM('By Neighborhood'!I231)</f>
        <v>2</v>
      </c>
      <c r="J55" s="74">
        <f>SUM('By Neighborhood'!J231)</f>
        <v>1</v>
      </c>
      <c r="K55" s="74">
        <f>SUM('By Neighborhood'!K231)</f>
        <v>0</v>
      </c>
      <c r="L55" s="74">
        <f>SUM('By Neighborhood'!L231)</f>
        <v>2</v>
      </c>
      <c r="M55" s="123">
        <f>SUM('By Neighborhood'!M231)</f>
        <v>2</v>
      </c>
      <c r="N55" s="74">
        <f t="shared" si="9"/>
        <v>0</v>
      </c>
      <c r="O55" s="74">
        <f t="shared" si="10"/>
        <v>14</v>
      </c>
      <c r="P55" s="75">
        <f t="shared" si="11"/>
        <v>1</v>
      </c>
      <c r="Q55" s="6"/>
    </row>
    <row r="56" spans="1:17" ht="11.25" customHeight="1" x14ac:dyDescent="0.4">
      <c r="A56" s="54"/>
      <c r="B56" s="125" t="s">
        <v>313</v>
      </c>
      <c r="C56" s="86">
        <f>SUM('By Neighborhood'!C232)</f>
        <v>4</v>
      </c>
      <c r="D56" s="74">
        <f>SUM('By Neighborhood'!D232)</f>
        <v>1</v>
      </c>
      <c r="E56" s="74">
        <f>SUM('By Neighborhood'!E232)</f>
        <v>1</v>
      </c>
      <c r="F56" s="74">
        <f>SUM('By Neighborhood'!F232)</f>
        <v>1</v>
      </c>
      <c r="G56" s="74">
        <f>SUM('By Neighborhood'!G232)</f>
        <v>1</v>
      </c>
      <c r="H56" s="74">
        <f>SUM('By Neighborhood'!H232)</f>
        <v>0</v>
      </c>
      <c r="I56" s="74">
        <f>SUM('By Neighborhood'!I232)</f>
        <v>0</v>
      </c>
      <c r="J56" s="74">
        <f>SUM('By Neighborhood'!J232)</f>
        <v>0</v>
      </c>
      <c r="K56" s="74">
        <f>SUM('By Neighborhood'!K232)</f>
        <v>0</v>
      </c>
      <c r="L56" s="74">
        <f>SUM('By Neighborhood'!L232)</f>
        <v>0</v>
      </c>
      <c r="M56" s="123">
        <f>SUM('By Neighborhood'!M232)</f>
        <v>0</v>
      </c>
      <c r="N56" s="74">
        <f t="shared" si="9"/>
        <v>0</v>
      </c>
      <c r="O56" s="74">
        <f t="shared" si="10"/>
        <v>4</v>
      </c>
      <c r="P56" s="75">
        <f t="shared" si="11"/>
        <v>1</v>
      </c>
      <c r="Q56" s="6"/>
    </row>
    <row r="57" spans="1:17" ht="11.25" customHeight="1" x14ac:dyDescent="0.4">
      <c r="A57" s="87"/>
      <c r="B57" s="67" t="s">
        <v>314</v>
      </c>
      <c r="C57" s="88">
        <f t="shared" ref="C57:M57" si="12">SUM(C47:C56)</f>
        <v>1933</v>
      </c>
      <c r="D57" s="89">
        <f t="shared" si="12"/>
        <v>768</v>
      </c>
      <c r="E57" s="89">
        <f t="shared" si="12"/>
        <v>527</v>
      </c>
      <c r="F57" s="89">
        <f t="shared" si="12"/>
        <v>423</v>
      </c>
      <c r="G57" s="89">
        <f t="shared" si="12"/>
        <v>432</v>
      </c>
      <c r="H57" s="89">
        <f t="shared" si="12"/>
        <v>455</v>
      </c>
      <c r="I57" s="89">
        <f t="shared" si="12"/>
        <v>454</v>
      </c>
      <c r="J57" s="89">
        <f t="shared" si="12"/>
        <v>453</v>
      </c>
      <c r="K57" s="89">
        <f t="shared" si="12"/>
        <v>550</v>
      </c>
      <c r="L57" s="89">
        <f t="shared" si="12"/>
        <v>825</v>
      </c>
      <c r="M57" s="126">
        <f t="shared" si="12"/>
        <v>1095</v>
      </c>
      <c r="N57" s="89">
        <f t="shared" si="9"/>
        <v>423</v>
      </c>
      <c r="O57" s="89">
        <f t="shared" si="10"/>
        <v>1510</v>
      </c>
      <c r="P57" s="91">
        <f t="shared" si="11"/>
        <v>0.78116916709777551</v>
      </c>
      <c r="Q57" s="6"/>
    </row>
    <row r="58" spans="1:17" ht="11.25" customHeigh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5.75" customHeight="1" x14ac:dyDescent="0.4"/>
    <row r="60" spans="1:17" ht="15.75" customHeight="1" x14ac:dyDescent="0.4">
      <c r="A60" s="92" t="s">
        <v>318</v>
      </c>
      <c r="B60" s="93"/>
      <c r="C60" s="94" t="s">
        <v>327</v>
      </c>
    </row>
    <row r="61" spans="1:17" ht="15.75" customHeight="1" x14ac:dyDescent="0.4">
      <c r="A61" s="95">
        <f>'By Location'!C20</f>
        <v>16545</v>
      </c>
      <c r="B61" s="70" t="s">
        <v>328</v>
      </c>
      <c r="C61" s="95">
        <f>SUM(C17,C33,C46)</f>
        <v>16545</v>
      </c>
    </row>
    <row r="62" spans="1:17" ht="15.75" customHeight="1" x14ac:dyDescent="0.4">
      <c r="A62" s="88">
        <f>'By Location'!C35</f>
        <v>18478</v>
      </c>
      <c r="B62" s="67" t="s">
        <v>319</v>
      </c>
      <c r="C62" s="88">
        <f>C57+C61</f>
        <v>18478</v>
      </c>
    </row>
    <row r="63" spans="1:17" ht="15.75" customHeight="1" x14ac:dyDescent="0.4"/>
    <row r="64" spans="1:17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" manualBreakCount="1">
    <brk id="33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 x14ac:dyDescent="0.4"/>
  <cols>
    <col min="1" max="1" width="11.453125" customWidth="1"/>
    <col min="2" max="2" width="12" customWidth="1"/>
    <col min="3" max="3" width="7" customWidth="1"/>
    <col min="4" max="5" width="5" customWidth="1"/>
    <col min="6" max="8" width="4.81640625" customWidth="1"/>
    <col min="9" max="10" width="4.453125" customWidth="1"/>
    <col min="11" max="12" width="4.81640625" customWidth="1"/>
    <col min="13" max="13" width="5" customWidth="1"/>
    <col min="14" max="14" width="6.81640625" customWidth="1"/>
    <col min="15" max="26" width="8" customWidth="1"/>
  </cols>
  <sheetData>
    <row r="1" spans="1:26" ht="14.5" x14ac:dyDescent="0.4">
      <c r="A1" s="532" t="str">
        <f>'University-wide'!A1</f>
        <v>University of California, San Diego Survey of Parking Space Occupancy Levels, Spring 2022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 x14ac:dyDescent="0.4">
      <c r="A2" s="532" t="s">
        <v>329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5" x14ac:dyDescent="0.4">
      <c r="A3" s="533"/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1.25" customHeight="1" x14ac:dyDescent="0.4">
      <c r="A4" s="42" t="s">
        <v>14</v>
      </c>
      <c r="B4" s="42" t="s">
        <v>280</v>
      </c>
      <c r="C4" s="42" t="s">
        <v>280</v>
      </c>
      <c r="D4" s="516" t="s">
        <v>281</v>
      </c>
      <c r="E4" s="517"/>
      <c r="F4" s="517"/>
      <c r="G4" s="517"/>
      <c r="H4" s="517"/>
      <c r="I4" s="517"/>
      <c r="J4" s="517"/>
      <c r="K4" s="517"/>
      <c r="L4" s="517"/>
      <c r="M4" s="518"/>
      <c r="N4" s="516" t="s">
        <v>282</v>
      </c>
      <c r="O4" s="517"/>
      <c r="P4" s="518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1.25" customHeight="1" x14ac:dyDescent="0.4">
      <c r="A5" s="43"/>
      <c r="B5" s="43" t="s">
        <v>283</v>
      </c>
      <c r="C5" s="43" t="s">
        <v>284</v>
      </c>
      <c r="D5" s="44" t="s">
        <v>285</v>
      </c>
      <c r="E5" s="45" t="s">
        <v>286</v>
      </c>
      <c r="F5" s="45" t="s">
        <v>287</v>
      </c>
      <c r="G5" s="45" t="s">
        <v>288</v>
      </c>
      <c r="H5" s="45" t="s">
        <v>289</v>
      </c>
      <c r="I5" s="45" t="s">
        <v>290</v>
      </c>
      <c r="J5" s="45" t="s">
        <v>291</v>
      </c>
      <c r="K5" s="45" t="s">
        <v>292</v>
      </c>
      <c r="L5" s="45" t="s">
        <v>293</v>
      </c>
      <c r="M5" s="46" t="s">
        <v>294</v>
      </c>
      <c r="N5" s="47" t="s">
        <v>295</v>
      </c>
      <c r="O5" s="48" t="s">
        <v>296</v>
      </c>
      <c r="P5" s="49" t="s">
        <v>297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1.25" customHeight="1" x14ac:dyDescent="0.4">
      <c r="A6" s="50"/>
      <c r="B6" s="50"/>
      <c r="C6" s="50"/>
      <c r="D6" s="51" t="s">
        <v>298</v>
      </c>
      <c r="E6" s="52" t="s">
        <v>298</v>
      </c>
      <c r="F6" s="52" t="s">
        <v>298</v>
      </c>
      <c r="G6" s="52" t="s">
        <v>298</v>
      </c>
      <c r="H6" s="52" t="s">
        <v>299</v>
      </c>
      <c r="I6" s="52" t="s">
        <v>299</v>
      </c>
      <c r="J6" s="52" t="s">
        <v>299</v>
      </c>
      <c r="K6" s="52" t="s">
        <v>299</v>
      </c>
      <c r="L6" s="52" t="s">
        <v>299</v>
      </c>
      <c r="M6" s="53" t="s">
        <v>299</v>
      </c>
      <c r="N6" s="51" t="s">
        <v>284</v>
      </c>
      <c r="O6" s="52" t="s">
        <v>284</v>
      </c>
      <c r="P6" s="53" t="s">
        <v>296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1.25" customHeight="1" x14ac:dyDescent="0.4">
      <c r="A7" s="73" t="s">
        <v>15</v>
      </c>
      <c r="B7" s="17" t="s">
        <v>300</v>
      </c>
      <c r="C7" s="17"/>
      <c r="D7" s="32"/>
      <c r="E7" s="6"/>
      <c r="F7" s="6"/>
      <c r="G7" s="6"/>
      <c r="H7" s="6"/>
      <c r="I7" s="6"/>
      <c r="J7" s="6"/>
      <c r="K7" s="6"/>
      <c r="L7" s="6"/>
      <c r="M7" s="31"/>
      <c r="N7" s="32"/>
      <c r="O7" s="6"/>
      <c r="P7" s="59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1.25" customHeight="1" x14ac:dyDescent="0.4">
      <c r="A8" s="32" t="s">
        <v>30</v>
      </c>
      <c r="B8" s="17" t="s">
        <v>301</v>
      </c>
      <c r="C8" s="17"/>
      <c r="D8" s="32"/>
      <c r="E8" s="6"/>
      <c r="F8" s="6"/>
      <c r="G8" s="6"/>
      <c r="H8" s="6"/>
      <c r="I8" s="6"/>
      <c r="J8" s="6"/>
      <c r="K8" s="6"/>
      <c r="L8" s="6"/>
      <c r="M8" s="31"/>
      <c r="N8" s="32"/>
      <c r="O8" s="6"/>
      <c r="P8" s="59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.25" customHeight="1" x14ac:dyDescent="0.4">
      <c r="A9" s="32"/>
      <c r="B9" s="17" t="s">
        <v>303</v>
      </c>
      <c r="C9" s="17"/>
      <c r="D9" s="32"/>
      <c r="E9" s="6"/>
      <c r="F9" s="6"/>
      <c r="G9" s="6"/>
      <c r="H9" s="6"/>
      <c r="I9" s="6"/>
      <c r="J9" s="6"/>
      <c r="K9" s="6"/>
      <c r="L9" s="6"/>
      <c r="M9" s="31"/>
      <c r="N9" s="32"/>
      <c r="O9" s="6"/>
      <c r="P9" s="59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1.25" customHeight="1" x14ac:dyDescent="0.4">
      <c r="A10" s="32"/>
      <c r="B10" s="17" t="s">
        <v>307</v>
      </c>
      <c r="C10" s="17"/>
      <c r="D10" s="32"/>
      <c r="E10" s="6"/>
      <c r="F10" s="6"/>
      <c r="G10" s="6"/>
      <c r="H10" s="6"/>
      <c r="I10" s="6"/>
      <c r="J10" s="6"/>
      <c r="K10" s="6"/>
      <c r="L10" s="6"/>
      <c r="M10" s="31"/>
      <c r="N10" s="32"/>
      <c r="O10" s="6"/>
      <c r="P10" s="59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1.25" customHeight="1" x14ac:dyDescent="0.4">
      <c r="A11" s="32"/>
      <c r="B11" s="17" t="s">
        <v>308</v>
      </c>
      <c r="C11" s="17">
        <f>SUM('By Lot - SIO'!E13,'By Lot - SIO'!E30,'By Lot - SIO'!E47,'By Lot - SIO'!E64,'By Lot - SIO'!E82,'By Lot - SIO'!E99,'By Lot - SIO'!E116,'By Lot - SIO'!E134)</f>
        <v>2</v>
      </c>
      <c r="D11" s="32">
        <f>SUM('By Lot - SIO'!F13,'By Lot - SIO'!F30,'By Lot - SIO'!F47,'By Lot - SIO'!F64,'By Lot - SIO'!F82,'By Lot - SIO'!F99,'By Lot - SIO'!F116,'By Lot - SIO'!F134)</f>
        <v>1</v>
      </c>
      <c r="E11" s="6">
        <f>SUM('By Lot - SIO'!G13,'By Lot - SIO'!G30,'By Lot - SIO'!G47,'By Lot - SIO'!G64,'By Lot - SIO'!G82,'By Lot - SIO'!G99,'By Lot - SIO'!G116,'By Lot - SIO'!G134)</f>
        <v>1</v>
      </c>
      <c r="F11" s="6">
        <f>SUM('By Lot - SIO'!H13,'By Lot - SIO'!H30,'By Lot - SIO'!H47,'By Lot - SIO'!H64,'By Lot - SIO'!H82,'By Lot - SIO'!H99,'By Lot - SIO'!H116,'By Lot - SIO'!H134)</f>
        <v>0</v>
      </c>
      <c r="G11" s="6">
        <f>SUM('By Lot - SIO'!I13,'By Lot - SIO'!I30,'By Lot - SIO'!I47,'By Lot - SIO'!I64,'By Lot - SIO'!I82,'By Lot - SIO'!I99,'By Lot - SIO'!I116,'By Lot - SIO'!I134)</f>
        <v>0</v>
      </c>
      <c r="H11" s="6">
        <f>SUM('By Lot - SIO'!J13,'By Lot - SIO'!J30,'By Lot - SIO'!J47,'By Lot - SIO'!J64,'By Lot - SIO'!J82,'By Lot - SIO'!J99,'By Lot - SIO'!J116,'By Lot - SIO'!J134)</f>
        <v>0</v>
      </c>
      <c r="I11" s="6">
        <f>SUM('By Lot - SIO'!K13,'By Lot - SIO'!K30,'By Lot - SIO'!K47,'By Lot - SIO'!K64,'By Lot - SIO'!K82,'By Lot - SIO'!K99,'By Lot - SIO'!K116,'By Lot - SIO'!K134)</f>
        <v>0</v>
      </c>
      <c r="J11" s="6">
        <f>SUM('By Lot - SIO'!L13,'By Lot - SIO'!L30,'By Lot - SIO'!L47,'By Lot - SIO'!L64,'By Lot - SIO'!L82,'By Lot - SIO'!L99,'By Lot - SIO'!L116,'By Lot - SIO'!L134)</f>
        <v>0</v>
      </c>
      <c r="K11" s="6">
        <f>SUM('By Lot - SIO'!M13,'By Lot - SIO'!M30,'By Lot - SIO'!M47,'By Lot - SIO'!M64,'By Lot - SIO'!M82,'By Lot - SIO'!M99,'By Lot - SIO'!M116,'By Lot - SIO'!M134)</f>
        <v>0</v>
      </c>
      <c r="L11" s="6">
        <f>SUM('By Lot - SIO'!N13,'By Lot - SIO'!N30,'By Lot - SIO'!N47,'By Lot - SIO'!N64,'By Lot - SIO'!N82,'By Lot - SIO'!N99,'By Lot - SIO'!N116,'By Lot - SIO'!N134)</f>
        <v>0</v>
      </c>
      <c r="M11" s="31">
        <f>SUM('By Lot - SIO'!O13,'By Lot - SIO'!O30,'By Lot - SIO'!O47,'By Lot - SIO'!O64,'By Lot - SIO'!O82,'By Lot - SIO'!O99,'By Lot - SIO'!O116,'By Lot - SIO'!O134)</f>
        <v>0</v>
      </c>
      <c r="N11" s="32">
        <f t="shared" ref="N11:N17" si="0">MIN(D11:M11)</f>
        <v>0</v>
      </c>
      <c r="O11" s="6">
        <f t="shared" ref="O11:O17" si="1">C11-N11</f>
        <v>2</v>
      </c>
      <c r="P11" s="59">
        <f t="shared" ref="P11:P17" si="2">O11/C11</f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1.25" customHeight="1" x14ac:dyDescent="0.4">
      <c r="A12" s="32"/>
      <c r="B12" s="17" t="s">
        <v>309</v>
      </c>
      <c r="C12" s="17">
        <f>SUM('By Lot - SIO'!E14:E19,'By Lot - SIO'!E31:E36,'By Lot - SIO'!E48:E53,'By Lot - SIO'!E65:E70,'By Lot - SIO'!E83:E88,'By Lot - SIO'!E100:E105,'By Lot - SIO'!E117:E122,'By Lot - SIO'!E135:E140)</f>
        <v>170</v>
      </c>
      <c r="D12" s="32">
        <f>SUM('By Lot - SIO'!F14:F19,'By Lot - SIO'!F31:F36,'By Lot - SIO'!F48:F53,'By Lot - SIO'!F65:F70,'By Lot - SIO'!F83:F88,'By Lot - SIO'!F100:F105,'By Lot - SIO'!F117:F122,'By Lot - SIO'!F135:F140)</f>
        <v>118</v>
      </c>
      <c r="E12" s="6">
        <f>SUM('By Lot - SIO'!G14:G19,'By Lot - SIO'!G31:G36,'By Lot - SIO'!G48:G53,'By Lot - SIO'!G65:G70,'By Lot - SIO'!G83:G88,'By Lot - SIO'!G100:G105,'By Lot - SIO'!G117:G122,'By Lot - SIO'!G135:G140)</f>
        <v>84</v>
      </c>
      <c r="F12" s="6">
        <f>SUM('By Lot - SIO'!H14:H19,'By Lot - SIO'!H31:H36,'By Lot - SIO'!H48:H53,'By Lot - SIO'!H65:H70,'By Lot - SIO'!H83:H88,'By Lot - SIO'!H100:H105,'By Lot - SIO'!H117:H122,'By Lot - SIO'!H135:H140)</f>
        <v>46</v>
      </c>
      <c r="G12" s="6">
        <f>SUM('By Lot - SIO'!I14:I19,'By Lot - SIO'!I31:I36,'By Lot - SIO'!I48:I53,'By Lot - SIO'!I65:I70,'By Lot - SIO'!I83:I88,'By Lot - SIO'!I100:I105,'By Lot - SIO'!I117:I122,'By Lot - SIO'!I135:I140)</f>
        <v>31</v>
      </c>
      <c r="H12" s="6">
        <f>SUM('By Lot - SIO'!J14:J19,'By Lot - SIO'!J31:J36,'By Lot - SIO'!J48:J53,'By Lot - SIO'!J65:J70,'By Lot - SIO'!J83:J88,'By Lot - SIO'!J100:J105,'By Lot - SIO'!J117:J122,'By Lot - SIO'!J135:J140)</f>
        <v>33</v>
      </c>
      <c r="I12" s="6">
        <f>SUM('By Lot - SIO'!K14:K19,'By Lot - SIO'!K31:K36,'By Lot - SIO'!K48:K53,'By Lot - SIO'!K65:K70,'By Lot - SIO'!K83:K88,'By Lot - SIO'!K100:K105,'By Lot - SIO'!K117:K122,'By Lot - SIO'!K135:K140)</f>
        <v>38</v>
      </c>
      <c r="J12" s="6">
        <f>SUM('By Lot - SIO'!L14:L19,'By Lot - SIO'!L31:L36,'By Lot - SIO'!L48:L53,'By Lot - SIO'!L65:L70,'By Lot - SIO'!L83:L88,'By Lot - SIO'!L100:L105,'By Lot - SIO'!L117:L122,'By Lot - SIO'!L135:L140)</f>
        <v>37</v>
      </c>
      <c r="K12" s="6">
        <f>SUM('By Lot - SIO'!M14:M19,'By Lot - SIO'!M31:M36,'By Lot - SIO'!M48:M53,'By Lot - SIO'!M65:M70,'By Lot - SIO'!M83:M88,'By Lot - SIO'!M100:M105,'By Lot - SIO'!M117:M122,'By Lot - SIO'!M135:M140)</f>
        <v>59</v>
      </c>
      <c r="L12" s="6">
        <f>SUM('By Lot - SIO'!N14:N19,'By Lot - SIO'!N31:N36,'By Lot - SIO'!N48:N53,'By Lot - SIO'!N65:N70,'By Lot - SIO'!N83:N88,'By Lot - SIO'!N100:N105,'By Lot - SIO'!N117:N122,'By Lot - SIO'!N135:N140)</f>
        <v>75</v>
      </c>
      <c r="M12" s="31">
        <f>SUM('By Lot - SIO'!O14:O19,'By Lot - SIO'!O31:O36,'By Lot - SIO'!O48:O53,'By Lot - SIO'!O65:O70,'By Lot - SIO'!O83:O88,'By Lot - SIO'!O100:O105,'By Lot - SIO'!O117:O122,'By Lot - SIO'!O135:O140)</f>
        <v>102</v>
      </c>
      <c r="N12" s="32">
        <f t="shared" si="0"/>
        <v>31</v>
      </c>
      <c r="O12" s="6">
        <f t="shared" si="1"/>
        <v>139</v>
      </c>
      <c r="P12" s="59">
        <f t="shared" si="2"/>
        <v>0.81764705882352939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1.25" customHeight="1" x14ac:dyDescent="0.4">
      <c r="A13" s="32"/>
      <c r="B13" s="17" t="s">
        <v>310</v>
      </c>
      <c r="C13" s="17">
        <f>SUM('By Lot - SIO'!E20,'By Lot - SIO'!E37,'By Lot - SIO'!E54,'By Lot - SIO'!E71,'By Lot - SIO'!E89,'By Lot - SIO'!E106,'By Lot - SIO'!E123,'By Lot - SIO'!E141)</f>
        <v>11</v>
      </c>
      <c r="D13" s="32">
        <f>SUM('By Lot - SIO'!F20,'By Lot - SIO'!F37,'By Lot - SIO'!F54,'By Lot - SIO'!F71,'By Lot - SIO'!F89,'By Lot - SIO'!F106,'By Lot - SIO'!F123,'By Lot - SIO'!F141)</f>
        <v>11</v>
      </c>
      <c r="E13" s="6">
        <f>SUM('By Lot - SIO'!G20,'By Lot - SIO'!G37,'By Lot - SIO'!G54,'By Lot - SIO'!G71,'By Lot - SIO'!G89,'By Lot - SIO'!G106,'By Lot - SIO'!G123,'By Lot - SIO'!G141)</f>
        <v>8</v>
      </c>
      <c r="F13" s="6">
        <f>SUM('By Lot - SIO'!H20,'By Lot - SIO'!H37,'By Lot - SIO'!H54,'By Lot - SIO'!H71,'By Lot - SIO'!H89,'By Lot - SIO'!H106,'By Lot - SIO'!H123,'By Lot - SIO'!H141)</f>
        <v>9</v>
      </c>
      <c r="G13" s="6">
        <f>SUM('By Lot - SIO'!I20,'By Lot - SIO'!I37,'By Lot - SIO'!I54,'By Lot - SIO'!I71,'By Lot - SIO'!I89,'By Lot - SIO'!I106,'By Lot - SIO'!I123,'By Lot - SIO'!I141)</f>
        <v>8</v>
      </c>
      <c r="H13" s="6">
        <f>SUM('By Lot - SIO'!J20,'By Lot - SIO'!J37,'By Lot - SIO'!J54,'By Lot - SIO'!J71,'By Lot - SIO'!J89,'By Lot - SIO'!J106,'By Lot - SIO'!J123,'By Lot - SIO'!J141)</f>
        <v>10</v>
      </c>
      <c r="I13" s="6">
        <f>SUM('By Lot - SIO'!K20,'By Lot - SIO'!K37,'By Lot - SIO'!K54,'By Lot - SIO'!K71,'By Lot - SIO'!K89,'By Lot - SIO'!K106,'By Lot - SIO'!K123,'By Lot - SIO'!K141)</f>
        <v>9</v>
      </c>
      <c r="J13" s="6">
        <f>SUM('By Lot - SIO'!L20,'By Lot - SIO'!L37,'By Lot - SIO'!L54,'By Lot - SIO'!L71,'By Lot - SIO'!L89,'By Lot - SIO'!L106,'By Lot - SIO'!L123,'By Lot - SIO'!L141)</f>
        <v>10</v>
      </c>
      <c r="K13" s="6">
        <f>SUM('By Lot - SIO'!M20,'By Lot - SIO'!M37,'By Lot - SIO'!M54,'By Lot - SIO'!M71,'By Lot - SIO'!M89,'By Lot - SIO'!M106,'By Lot - SIO'!M123,'By Lot - SIO'!M141)</f>
        <v>11</v>
      </c>
      <c r="L13" s="6">
        <f>SUM('By Lot - SIO'!N20,'By Lot - SIO'!N37,'By Lot - SIO'!N54,'By Lot - SIO'!N71,'By Lot - SIO'!N89,'By Lot - SIO'!N106,'By Lot - SIO'!N123,'By Lot - SIO'!N141)</f>
        <v>10</v>
      </c>
      <c r="M13" s="31">
        <f>SUM('By Lot - SIO'!O20,'By Lot - SIO'!O37,'By Lot - SIO'!O54,'By Lot - SIO'!O71,'By Lot - SIO'!O89,'By Lot - SIO'!O106,'By Lot - SIO'!O123,'By Lot - SIO'!O141)</f>
        <v>10</v>
      </c>
      <c r="N13" s="32">
        <f t="shared" si="0"/>
        <v>8</v>
      </c>
      <c r="O13" s="6">
        <f t="shared" si="1"/>
        <v>3</v>
      </c>
      <c r="P13" s="59">
        <f t="shared" si="2"/>
        <v>0.27272727272727271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1.25" customHeight="1" x14ac:dyDescent="0.4">
      <c r="A14" s="32"/>
      <c r="B14" s="17" t="s">
        <v>311</v>
      </c>
      <c r="C14" s="17">
        <f>SUM('By Lot - SIO'!E21,'By Lot - SIO'!E38,'By Lot - SIO'!E55,'By Lot - SIO'!E72,'By Lot - SIO'!E90,'By Lot - SIO'!E107,'By Lot - SIO'!E124,'By Lot - SIO'!E142)</f>
        <v>8</v>
      </c>
      <c r="D14" s="32">
        <f>SUM('By Lot - SIO'!F21,'By Lot - SIO'!F38,'By Lot - SIO'!F55,'By Lot - SIO'!F72,'By Lot - SIO'!F90,'By Lot - SIO'!F107,'By Lot - SIO'!F124,'By Lot - SIO'!F142)</f>
        <v>3</v>
      </c>
      <c r="E14" s="6">
        <f>SUM('By Lot - SIO'!G21,'By Lot - SIO'!G38,'By Lot - SIO'!G55,'By Lot - SIO'!G72,'By Lot - SIO'!G90,'By Lot - SIO'!G107,'By Lot - SIO'!G124,'By Lot - SIO'!G142)</f>
        <v>3</v>
      </c>
      <c r="F14" s="6">
        <f>SUM('By Lot - SIO'!H21,'By Lot - SIO'!H38,'By Lot - SIO'!H55,'By Lot - SIO'!H72,'By Lot - SIO'!H90,'By Lot - SIO'!H107,'By Lot - SIO'!H124,'By Lot - SIO'!H142)</f>
        <v>4</v>
      </c>
      <c r="G14" s="6">
        <f>SUM('By Lot - SIO'!I21,'By Lot - SIO'!I38,'By Lot - SIO'!I55,'By Lot - SIO'!I72,'By Lot - SIO'!I90,'By Lot - SIO'!I107,'By Lot - SIO'!I124,'By Lot - SIO'!I142)</f>
        <v>3</v>
      </c>
      <c r="H14" s="6">
        <f>SUM('By Lot - SIO'!J21,'By Lot - SIO'!J38,'By Lot - SIO'!J55,'By Lot - SIO'!J72,'By Lot - SIO'!J90,'By Lot - SIO'!J107,'By Lot - SIO'!J124,'By Lot - SIO'!J142)</f>
        <v>3</v>
      </c>
      <c r="I14" s="6">
        <f>SUM('By Lot - SIO'!K21,'By Lot - SIO'!K38,'By Lot - SIO'!K55,'By Lot - SIO'!K72,'By Lot - SIO'!K90,'By Lot - SIO'!K107,'By Lot - SIO'!K124,'By Lot - SIO'!K142)</f>
        <v>1</v>
      </c>
      <c r="J14" s="6">
        <f>SUM('By Lot - SIO'!L21,'By Lot - SIO'!L38,'By Lot - SIO'!L55,'By Lot - SIO'!L72,'By Lot - SIO'!L90,'By Lot - SIO'!L107,'By Lot - SIO'!L124,'By Lot - SIO'!L142)</f>
        <v>2</v>
      </c>
      <c r="K14" s="6">
        <f>SUM('By Lot - SIO'!M21,'By Lot - SIO'!M38,'By Lot - SIO'!M55,'By Lot - SIO'!M72,'By Lot - SIO'!M90,'By Lot - SIO'!M107,'By Lot - SIO'!M124,'By Lot - SIO'!M142)</f>
        <v>2</v>
      </c>
      <c r="L14" s="6">
        <f>SUM('By Lot - SIO'!N21,'By Lot - SIO'!N38,'By Lot - SIO'!N55,'By Lot - SIO'!N72,'By Lot - SIO'!N90,'By Lot - SIO'!N107,'By Lot - SIO'!N124,'By Lot - SIO'!N142)</f>
        <v>2</v>
      </c>
      <c r="M14" s="31">
        <f>SUM('By Lot - SIO'!O21,'By Lot - SIO'!O38,'By Lot - SIO'!O55,'By Lot - SIO'!O72,'By Lot - SIO'!O90,'By Lot - SIO'!O107,'By Lot - SIO'!O124,'By Lot - SIO'!O142)</f>
        <v>2</v>
      </c>
      <c r="N14" s="32">
        <f t="shared" si="0"/>
        <v>1</v>
      </c>
      <c r="O14" s="6">
        <f t="shared" si="1"/>
        <v>7</v>
      </c>
      <c r="P14" s="59">
        <f t="shared" si="2"/>
        <v>0.875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1.25" customHeight="1" x14ac:dyDescent="0.4">
      <c r="A15" s="32"/>
      <c r="B15" s="17" t="s">
        <v>312</v>
      </c>
      <c r="C15" s="17">
        <f>SUM('By Lot - SIO'!E22,'By Lot - SIO'!E39,'By Lot - SIO'!E56,'By Lot - SIO'!E73,'By Lot - SIO'!E91,'By Lot - SIO'!E108,'By Lot - SIO'!E125,'By Lot - SIO'!E143)</f>
        <v>1</v>
      </c>
      <c r="D15" s="32">
        <f>SUM('By Lot - SIO'!F22,'By Lot - SIO'!F39,'By Lot - SIO'!F56,'By Lot - SIO'!F73,'By Lot - SIO'!F91,'By Lot - SIO'!F108,'By Lot - SIO'!F125,'By Lot - SIO'!F143)</f>
        <v>0</v>
      </c>
      <c r="E15" s="6">
        <f>SUM('By Lot - SIO'!G22,'By Lot - SIO'!G39,'By Lot - SIO'!G56,'By Lot - SIO'!G73,'By Lot - SIO'!G91,'By Lot - SIO'!G108,'By Lot - SIO'!G125,'By Lot - SIO'!G143)</f>
        <v>0</v>
      </c>
      <c r="F15" s="6">
        <f>SUM('By Lot - SIO'!H22,'By Lot - SIO'!H39,'By Lot - SIO'!H56,'By Lot - SIO'!H73,'By Lot - SIO'!H91,'By Lot - SIO'!H108,'By Lot - SIO'!H125,'By Lot - SIO'!H143)</f>
        <v>0</v>
      </c>
      <c r="G15" s="6">
        <f>SUM('By Lot - SIO'!I22,'By Lot - SIO'!I39,'By Lot - SIO'!I56,'By Lot - SIO'!I73,'By Lot - SIO'!I91,'By Lot - SIO'!I108,'By Lot - SIO'!I125,'By Lot - SIO'!I143)</f>
        <v>0</v>
      </c>
      <c r="H15" s="6">
        <f>SUM('By Lot - SIO'!J22,'By Lot - SIO'!J39,'By Lot - SIO'!J56,'By Lot - SIO'!J73,'By Lot - SIO'!J91,'By Lot - SIO'!J108,'By Lot - SIO'!J125,'By Lot - SIO'!J143)</f>
        <v>0</v>
      </c>
      <c r="I15" s="6">
        <f>SUM('By Lot - SIO'!K22,'By Lot - SIO'!K39,'By Lot - SIO'!K56,'By Lot - SIO'!K73,'By Lot - SIO'!K91,'By Lot - SIO'!K108,'By Lot - SIO'!K125,'By Lot - SIO'!K143)</f>
        <v>0</v>
      </c>
      <c r="J15" s="6">
        <f>SUM('By Lot - SIO'!L22,'By Lot - SIO'!L39,'By Lot - SIO'!L56,'By Lot - SIO'!L73,'By Lot - SIO'!L91,'By Lot - SIO'!L108,'By Lot - SIO'!L125,'By Lot - SIO'!L143)</f>
        <v>0</v>
      </c>
      <c r="K15" s="6">
        <f>SUM('By Lot - SIO'!M22,'By Lot - SIO'!M39,'By Lot - SIO'!M56,'By Lot - SIO'!M73,'By Lot - SIO'!M91,'By Lot - SIO'!M108,'By Lot - SIO'!M125,'By Lot - SIO'!M143)</f>
        <v>1</v>
      </c>
      <c r="L15" s="6">
        <f>SUM('By Lot - SIO'!N22,'By Lot - SIO'!N39,'By Lot - SIO'!N56,'By Lot - SIO'!N73,'By Lot - SIO'!N91,'By Lot - SIO'!N108,'By Lot - SIO'!N125,'By Lot - SIO'!N143)</f>
        <v>1</v>
      </c>
      <c r="M15" s="31">
        <f>SUM('By Lot - SIO'!O22,'By Lot - SIO'!O39,'By Lot - SIO'!O56,'By Lot - SIO'!O73,'By Lot - SIO'!O91,'By Lot - SIO'!O108,'By Lot - SIO'!O125,'By Lot - SIO'!O143)</f>
        <v>1</v>
      </c>
      <c r="N15" s="32">
        <f t="shared" si="0"/>
        <v>0</v>
      </c>
      <c r="O15" s="6">
        <f t="shared" si="1"/>
        <v>1</v>
      </c>
      <c r="P15" s="59">
        <f t="shared" si="2"/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1.25" customHeight="1" x14ac:dyDescent="0.4">
      <c r="A16" s="32"/>
      <c r="B16" s="32" t="s">
        <v>313</v>
      </c>
      <c r="C16" s="76">
        <f>SUM('By Lot - SIO'!E23,'By Lot - SIO'!E40,'By Lot - SIO'!E57,'By Lot - SIO'!E74:E75,'By Lot - SIO'!E92,'By Lot - SIO'!E109,'By Lot - SIO'!E126,'By Lot - SIO'!E144)</f>
        <v>12</v>
      </c>
      <c r="D16" s="76">
        <f>SUM('By Lot - SIO'!F23,'By Lot - SIO'!F40,'By Lot - SIO'!F57,'By Lot - SIO'!F74:F75,'By Lot - SIO'!F92,'By Lot - SIO'!F109,'By Lot - SIO'!F126,'By Lot - SIO'!F144)</f>
        <v>8</v>
      </c>
      <c r="E16" s="117">
        <f>SUM('By Lot - SIO'!G23,'By Lot - SIO'!G40,'By Lot - SIO'!G57,'By Lot - SIO'!G74:G75,'By Lot - SIO'!G92,'By Lot - SIO'!G109,'By Lot - SIO'!G126,'By Lot - SIO'!G144)</f>
        <v>6</v>
      </c>
      <c r="F16" s="117">
        <f>SUM('By Lot - SIO'!H23,'By Lot - SIO'!H40,'By Lot - SIO'!H57,'By Lot - SIO'!H74:H75,'By Lot - SIO'!H92,'By Lot - SIO'!H109,'By Lot - SIO'!H126,'By Lot - SIO'!H144)</f>
        <v>6</v>
      </c>
      <c r="G16" s="117">
        <f>SUM('By Lot - SIO'!I23,'By Lot - SIO'!I40,'By Lot - SIO'!I57,'By Lot - SIO'!I74:I75,'By Lot - SIO'!I92,'By Lot - SIO'!I109,'By Lot - SIO'!I126,'By Lot - SIO'!I144)</f>
        <v>5</v>
      </c>
      <c r="H16" s="117">
        <f>SUM('By Lot - SIO'!J23,'By Lot - SIO'!J40,'By Lot - SIO'!J57,'By Lot - SIO'!J74:J75,'By Lot - SIO'!J92,'By Lot - SIO'!J109,'By Lot - SIO'!J126,'By Lot - SIO'!J144)</f>
        <v>8</v>
      </c>
      <c r="I16" s="117">
        <f>SUM('By Lot - SIO'!K23,'By Lot - SIO'!K40,'By Lot - SIO'!K57,'By Lot - SIO'!K74:K75,'By Lot - SIO'!K92,'By Lot - SIO'!K109,'By Lot - SIO'!K126,'By Lot - SIO'!K144)</f>
        <v>4</v>
      </c>
      <c r="J16" s="117">
        <f>SUM('By Lot - SIO'!L23,'By Lot - SIO'!L40,'By Lot - SIO'!L57,'By Lot - SIO'!L74:L75,'By Lot - SIO'!L92,'By Lot - SIO'!L109,'By Lot - SIO'!L126,'By Lot - SIO'!L144)</f>
        <v>7</v>
      </c>
      <c r="K16" s="117">
        <f>SUM('By Lot - SIO'!M23,'By Lot - SIO'!M40,'By Lot - SIO'!M57,'By Lot - SIO'!M74:M75,'By Lot - SIO'!M92,'By Lot - SIO'!M109,'By Lot - SIO'!M126,'By Lot - SIO'!M144)</f>
        <v>8</v>
      </c>
      <c r="L16" s="117">
        <f>SUM('By Lot - SIO'!N23,'By Lot - SIO'!N40,'By Lot - SIO'!N57,'By Lot - SIO'!N74:N75,'By Lot - SIO'!N92,'By Lot - SIO'!N109,'By Lot - SIO'!N126,'By Lot - SIO'!N144)</f>
        <v>9</v>
      </c>
      <c r="M16" s="35">
        <f>SUM('By Lot - SIO'!O23,'By Lot - SIO'!O40,'By Lot - SIO'!O57,'By Lot - SIO'!O74:O75,'By Lot - SIO'!O92,'By Lot - SIO'!O109,'By Lot - SIO'!O126,'By Lot - SIO'!O144)</f>
        <v>9</v>
      </c>
      <c r="N16" s="6">
        <f t="shared" si="0"/>
        <v>4</v>
      </c>
      <c r="O16" s="6">
        <f t="shared" si="1"/>
        <v>8</v>
      </c>
      <c r="P16" s="59">
        <f t="shared" si="2"/>
        <v>0.66666666666666663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1.25" customHeight="1" x14ac:dyDescent="0.4">
      <c r="A17" s="76"/>
      <c r="B17" s="65" t="s">
        <v>314</v>
      </c>
      <c r="C17" s="127">
        <f t="shared" ref="C17:M17" si="3">SUM(C7:C16)</f>
        <v>204</v>
      </c>
      <c r="D17" s="118">
        <f t="shared" si="3"/>
        <v>141</v>
      </c>
      <c r="E17" s="119">
        <f t="shared" si="3"/>
        <v>102</v>
      </c>
      <c r="F17" s="119">
        <f t="shared" si="3"/>
        <v>65</v>
      </c>
      <c r="G17" s="119">
        <f t="shared" si="3"/>
        <v>47</v>
      </c>
      <c r="H17" s="119">
        <f t="shared" si="3"/>
        <v>54</v>
      </c>
      <c r="I17" s="119">
        <f t="shared" si="3"/>
        <v>52</v>
      </c>
      <c r="J17" s="119">
        <f t="shared" si="3"/>
        <v>56</v>
      </c>
      <c r="K17" s="119">
        <f t="shared" si="3"/>
        <v>81</v>
      </c>
      <c r="L17" s="119">
        <f t="shared" si="3"/>
        <v>97</v>
      </c>
      <c r="M17" s="120">
        <f t="shared" si="3"/>
        <v>124</v>
      </c>
      <c r="N17" s="104">
        <f t="shared" si="0"/>
        <v>47</v>
      </c>
      <c r="O17" s="128">
        <f t="shared" si="1"/>
        <v>157</v>
      </c>
      <c r="P17" s="72">
        <f t="shared" si="2"/>
        <v>0.76960784313725494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1.25" customHeight="1" x14ac:dyDescent="0.4">
      <c r="A18" s="15" t="s">
        <v>15</v>
      </c>
      <c r="B18" s="17" t="s">
        <v>300</v>
      </c>
      <c r="C18" s="17"/>
      <c r="D18" s="32"/>
      <c r="E18" s="6"/>
      <c r="F18" s="6"/>
      <c r="G18" s="6"/>
      <c r="H18" s="6"/>
      <c r="I18" s="6"/>
      <c r="J18" s="6"/>
      <c r="K18" s="6"/>
      <c r="L18" s="6"/>
      <c r="M18" s="31"/>
      <c r="N18" s="32"/>
      <c r="O18" s="6"/>
      <c r="P18" s="59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.25" customHeight="1" x14ac:dyDescent="0.4">
      <c r="A19" s="17" t="s">
        <v>8</v>
      </c>
      <c r="B19" s="17" t="s">
        <v>301</v>
      </c>
      <c r="C19" s="17">
        <f>SUM('By Lot - SIO'!E164,'By Lot - SIO'!E181,'By Lot - SIO'!E198,'By Lot - SIO'!E215)</f>
        <v>12</v>
      </c>
      <c r="D19" s="32">
        <f>SUM('By Lot - SIO'!F164,'By Lot - SIO'!F181,'By Lot - SIO'!F198,'By Lot - SIO'!F215)</f>
        <v>6</v>
      </c>
      <c r="E19" s="6">
        <f>SUM('By Lot - SIO'!G164,'By Lot - SIO'!G181,'By Lot - SIO'!G198,'By Lot - SIO'!G215)</f>
        <v>2</v>
      </c>
      <c r="F19" s="6">
        <f>SUM('By Lot - SIO'!H164,'By Lot - SIO'!H181,'By Lot - SIO'!H198,'By Lot - SIO'!H215)</f>
        <v>0</v>
      </c>
      <c r="G19" s="6">
        <f>SUM('By Lot - SIO'!I164,'By Lot - SIO'!I181,'By Lot - SIO'!I198,'By Lot - SIO'!I215)</f>
        <v>0</v>
      </c>
      <c r="H19" s="6">
        <f>SUM('By Lot - SIO'!J164,'By Lot - SIO'!J181,'By Lot - SIO'!J198,'By Lot - SIO'!J215)</f>
        <v>1</v>
      </c>
      <c r="I19" s="6">
        <f>SUM('By Lot - SIO'!K164,'By Lot - SIO'!K181,'By Lot - SIO'!K198,'By Lot - SIO'!K215)</f>
        <v>1</v>
      </c>
      <c r="J19" s="6">
        <f>SUM('By Lot - SIO'!L164,'By Lot - SIO'!L181,'By Lot - SIO'!L198,'By Lot - SIO'!L215)</f>
        <v>0</v>
      </c>
      <c r="K19" s="6">
        <f>SUM('By Lot - SIO'!M164,'By Lot - SIO'!M181,'By Lot - SIO'!M198,'By Lot - SIO'!M215)</f>
        <v>1</v>
      </c>
      <c r="L19" s="6">
        <f>SUM('By Lot - SIO'!N164,'By Lot - SIO'!N181,'By Lot - SIO'!N198,'By Lot - SIO'!N215)</f>
        <v>1</v>
      </c>
      <c r="M19" s="31">
        <f>SUM('By Lot - SIO'!O164,'By Lot - SIO'!O181,'By Lot - SIO'!O198,'By Lot - SIO'!O215)</f>
        <v>1</v>
      </c>
      <c r="N19" s="32">
        <f>MIN(D19:M19)</f>
        <v>0</v>
      </c>
      <c r="O19" s="6">
        <f>C19-N19</f>
        <v>12</v>
      </c>
      <c r="P19" s="59">
        <f>O19/C19</f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1.25" customHeight="1" x14ac:dyDescent="0.4">
      <c r="A20" s="17"/>
      <c r="B20" s="17" t="s">
        <v>303</v>
      </c>
      <c r="C20" s="17"/>
      <c r="D20" s="32"/>
      <c r="E20" s="6"/>
      <c r="F20" s="6"/>
      <c r="G20" s="6"/>
      <c r="H20" s="6"/>
      <c r="I20" s="6"/>
      <c r="J20" s="6"/>
      <c r="K20" s="6"/>
      <c r="L20" s="6"/>
      <c r="M20" s="31"/>
      <c r="N20" s="32"/>
      <c r="O20" s="6"/>
      <c r="P20" s="59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1.25" customHeight="1" x14ac:dyDescent="0.4">
      <c r="A21" s="17"/>
      <c r="B21" s="17" t="s">
        <v>307</v>
      </c>
      <c r="C21" s="17"/>
      <c r="D21" s="32"/>
      <c r="E21" s="6"/>
      <c r="F21" s="6"/>
      <c r="G21" s="6"/>
      <c r="H21" s="6"/>
      <c r="I21" s="6"/>
      <c r="J21" s="6"/>
      <c r="K21" s="6"/>
      <c r="L21" s="6"/>
      <c r="M21" s="31"/>
      <c r="N21" s="32"/>
      <c r="O21" s="6"/>
      <c r="P21" s="59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1.25" customHeight="1" x14ac:dyDescent="0.4">
      <c r="A22" s="17"/>
      <c r="B22" s="17" t="s">
        <v>308</v>
      </c>
      <c r="C22" s="17"/>
      <c r="D22" s="32"/>
      <c r="E22" s="6"/>
      <c r="F22" s="6"/>
      <c r="G22" s="6"/>
      <c r="H22" s="6"/>
      <c r="I22" s="6"/>
      <c r="J22" s="6"/>
      <c r="K22" s="6"/>
      <c r="L22" s="6"/>
      <c r="M22" s="31"/>
      <c r="N22" s="32"/>
      <c r="O22" s="6"/>
      <c r="P22" s="59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1.25" customHeight="1" x14ac:dyDescent="0.4">
      <c r="A23" s="17"/>
      <c r="B23" s="17" t="s">
        <v>309</v>
      </c>
      <c r="C23" s="17">
        <f>SUM('By Lot - SIO'!E169:E174,'By Lot - SIO'!E186:E191,'By Lot - SIO'!E203:E208,'By Lot - SIO'!E220:E225)</f>
        <v>56</v>
      </c>
      <c r="D23" s="32">
        <f>SUM('By Lot - SIO'!F169:F174,'By Lot - SIO'!F186:F191,'By Lot - SIO'!F203:F208,'By Lot - SIO'!F220:F225)</f>
        <v>45</v>
      </c>
      <c r="E23" s="6">
        <f>SUM('By Lot - SIO'!G169:G174,'By Lot - SIO'!G186:G191,'By Lot - SIO'!G203:G208,'By Lot - SIO'!G220:G225)</f>
        <v>32</v>
      </c>
      <c r="F23" s="6">
        <f>SUM('By Lot - SIO'!H169:H174,'By Lot - SIO'!H186:H191,'By Lot - SIO'!H203:H208,'By Lot - SIO'!H220:H225)</f>
        <v>8</v>
      </c>
      <c r="G23" s="6">
        <f>SUM('By Lot - SIO'!I169:I174,'By Lot - SIO'!I186:I191,'By Lot - SIO'!I203:I208,'By Lot - SIO'!I220:I225)</f>
        <v>3</v>
      </c>
      <c r="H23" s="6">
        <f>SUM('By Lot - SIO'!J169:J174,'By Lot - SIO'!J186:J191,'By Lot - SIO'!J203:J208,'By Lot - SIO'!J220:J225)</f>
        <v>0</v>
      </c>
      <c r="I23" s="58">
        <f>SUM('By Lot - SIO'!K169:K174,'By Lot - SIO'!K186:K191,'By Lot - SIO'!K203:K208,'By Lot - SIO'!K220:K225)</f>
        <v>1</v>
      </c>
      <c r="J23" s="58">
        <f>SUM('By Lot - SIO'!L169:L174,'By Lot - SIO'!L186:L191,'By Lot - SIO'!L203:L208,'By Lot - SIO'!L220:L225)</f>
        <v>3</v>
      </c>
      <c r="K23" s="58">
        <f>SUM('By Lot - SIO'!M169:M174,'By Lot - SIO'!M186:M191,'By Lot - SIO'!M203:M208,'By Lot - SIO'!M220:M225)</f>
        <v>11</v>
      </c>
      <c r="L23" s="58">
        <f>SUM('By Lot - SIO'!N169:N174,'By Lot - SIO'!N186:N191,'By Lot - SIO'!N203:N208,'By Lot - SIO'!N220:N225)</f>
        <v>16</v>
      </c>
      <c r="M23" s="60">
        <f>SUM('By Lot - SIO'!O169:O174,'By Lot - SIO'!O186:O191,'By Lot - SIO'!O203:O208,'By Lot - SIO'!O220:O225)</f>
        <v>18</v>
      </c>
      <c r="N23" s="32">
        <f t="shared" ref="N23:N24" si="4">MIN(D23:M23)</f>
        <v>0</v>
      </c>
      <c r="O23" s="6">
        <f t="shared" ref="O23:O24" si="5">C23-N23</f>
        <v>56</v>
      </c>
      <c r="P23" s="59">
        <f t="shared" ref="P23:P24" si="6">O23/C23</f>
        <v>1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1.25" customHeight="1" x14ac:dyDescent="0.4">
      <c r="A24" s="17"/>
      <c r="B24" s="17" t="s">
        <v>310</v>
      </c>
      <c r="C24" s="17">
        <f>SUM('By Lot - SIO'!E175,'By Lot - SIO'!E192,'By Lot - SIO'!E209,'By Lot - SIO'!E226)</f>
        <v>5</v>
      </c>
      <c r="D24" s="32">
        <f>SUM('By Lot - SIO'!F175,'By Lot - SIO'!F192,'By Lot - SIO'!F209,'By Lot - SIO'!F226)</f>
        <v>5</v>
      </c>
      <c r="E24" s="6">
        <f>SUM('By Lot - SIO'!G175,'By Lot - SIO'!G192,'By Lot - SIO'!G209,'By Lot - SIO'!G226)</f>
        <v>5</v>
      </c>
      <c r="F24" s="6">
        <f>SUM('By Lot - SIO'!H175,'By Lot - SIO'!H192,'By Lot - SIO'!H209,'By Lot - SIO'!H226)</f>
        <v>5</v>
      </c>
      <c r="G24" s="6">
        <f>SUM('By Lot - SIO'!I175,'By Lot - SIO'!I192,'By Lot - SIO'!I209,'By Lot - SIO'!I226)</f>
        <v>5</v>
      </c>
      <c r="H24" s="6">
        <f>SUM('By Lot - SIO'!J175,'By Lot - SIO'!J192,'By Lot - SIO'!J209,'By Lot - SIO'!J226)</f>
        <v>4</v>
      </c>
      <c r="I24" s="6">
        <f>SUM('By Lot - SIO'!K175,'By Lot - SIO'!K192,'By Lot - SIO'!K209,'By Lot - SIO'!K226)</f>
        <v>4</v>
      </c>
      <c r="J24" s="6">
        <f>SUM('By Lot - SIO'!L175,'By Lot - SIO'!L192,'By Lot - SIO'!L209,'By Lot - SIO'!L226)</f>
        <v>4</v>
      </c>
      <c r="K24" s="6">
        <f>SUM('By Lot - SIO'!M175,'By Lot - SIO'!M192,'By Lot - SIO'!M209,'By Lot - SIO'!M226)</f>
        <v>5</v>
      </c>
      <c r="L24" s="6">
        <f>SUM('By Lot - SIO'!N175,'By Lot - SIO'!N192,'By Lot - SIO'!N209,'By Lot - SIO'!N226)</f>
        <v>5</v>
      </c>
      <c r="M24" s="31">
        <f>SUM('By Lot - SIO'!O175,'By Lot - SIO'!O192,'By Lot - SIO'!O209,'By Lot - SIO'!O226)</f>
        <v>5</v>
      </c>
      <c r="N24" s="32">
        <f t="shared" si="4"/>
        <v>4</v>
      </c>
      <c r="O24" s="6">
        <f t="shared" si="5"/>
        <v>1</v>
      </c>
      <c r="P24" s="59">
        <f t="shared" si="6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1.25" customHeight="1" x14ac:dyDescent="0.4">
      <c r="A25" s="17"/>
      <c r="B25" s="17" t="s">
        <v>311</v>
      </c>
      <c r="C25" s="17"/>
      <c r="D25" s="32"/>
      <c r="E25" s="6"/>
      <c r="F25" s="6"/>
      <c r="G25" s="6"/>
      <c r="H25" s="6"/>
      <c r="I25" s="6"/>
      <c r="J25" s="6"/>
      <c r="K25" s="6"/>
      <c r="L25" s="6"/>
      <c r="M25" s="31"/>
      <c r="N25" s="32"/>
      <c r="O25" s="6"/>
      <c r="P25" s="59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1.25" customHeight="1" x14ac:dyDescent="0.4">
      <c r="A26" s="17"/>
      <c r="B26" s="17" t="s">
        <v>312</v>
      </c>
      <c r="C26" s="17">
        <f>SUM('By Lot - SIO'!E160,'By Lot - SIO'!E177,'By Lot - SIO'!E194,'By Lot - SIO'!E211,'By Lot - SIO'!E228)</f>
        <v>2</v>
      </c>
      <c r="D26" s="32">
        <f>SUM('By Lot - SIO'!F160,'By Lot - SIO'!F177,'By Lot - SIO'!F194,'By Lot - SIO'!F211,'By Lot - SIO'!F228)</f>
        <v>1</v>
      </c>
      <c r="E26" s="6">
        <f>SUM('By Lot - SIO'!G160,'By Lot - SIO'!G177,'By Lot - SIO'!G194,'By Lot - SIO'!G211,'By Lot - SIO'!G228)</f>
        <v>0</v>
      </c>
      <c r="F26" s="6">
        <f>SUM('By Lot - SIO'!H160,'By Lot - SIO'!H177,'By Lot - SIO'!H194,'By Lot - SIO'!H211,'By Lot - SIO'!H228)</f>
        <v>0</v>
      </c>
      <c r="G26" s="6">
        <f>SUM('By Lot - SIO'!I160,'By Lot - SIO'!I177,'By Lot - SIO'!I194,'By Lot - SIO'!I211,'By Lot - SIO'!I228)</f>
        <v>2</v>
      </c>
      <c r="H26" s="6">
        <f>SUM('By Lot - SIO'!J160,'By Lot - SIO'!J177,'By Lot - SIO'!J194,'By Lot - SIO'!J211,'By Lot - SIO'!J228)</f>
        <v>0</v>
      </c>
      <c r="I26" s="58">
        <f>SUM('By Lot - SIO'!K160,'By Lot - SIO'!K177,'By Lot - SIO'!K194,'By Lot - SIO'!K211,'By Lot - SIO'!K228)</f>
        <v>1</v>
      </c>
      <c r="J26" s="58">
        <f>SUM('By Lot - SIO'!L160,'By Lot - SIO'!L177,'By Lot - SIO'!L194,'By Lot - SIO'!L211,'By Lot - SIO'!L228)</f>
        <v>1</v>
      </c>
      <c r="K26" s="58">
        <f>SUM('By Lot - SIO'!M160,'By Lot - SIO'!M177,'By Lot - SIO'!M194,'By Lot - SIO'!M211,'By Lot - SIO'!M228)</f>
        <v>1</v>
      </c>
      <c r="L26" s="58">
        <f>SUM('By Lot - SIO'!N160,'By Lot - SIO'!N177,'By Lot - SIO'!N194,'By Lot - SIO'!N211,'By Lot - SIO'!N228)</f>
        <v>1</v>
      </c>
      <c r="M26" s="60">
        <f>SUM('By Lot - SIO'!O160,'By Lot - SIO'!O177,'By Lot - SIO'!O194,'By Lot - SIO'!O211,'By Lot - SIO'!O228)</f>
        <v>1</v>
      </c>
      <c r="N26" s="32">
        <f t="shared" ref="N26:N28" si="7">MIN(D26:M26)</f>
        <v>0</v>
      </c>
      <c r="O26" s="6">
        <f t="shared" ref="O26:O28" si="8">C26-N26</f>
        <v>2</v>
      </c>
      <c r="P26" s="59">
        <f t="shared" ref="P26:P28" si="9">O26/C26</f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1.25" customHeight="1" x14ac:dyDescent="0.4">
      <c r="A27" s="17"/>
      <c r="B27" s="17" t="s">
        <v>313</v>
      </c>
      <c r="C27" s="17">
        <f>SUM('By Lot - SIO'!E178,'By Lot - SIO'!E195,'By Lot - SIO'!E212,'By Lot - SIO'!E229)</f>
        <v>1</v>
      </c>
      <c r="D27" s="32">
        <f>SUM('By Lot - SIO'!F178,'By Lot - SIO'!F195,'By Lot - SIO'!F212,'By Lot - SIO'!F229)</f>
        <v>1</v>
      </c>
      <c r="E27" s="6">
        <f>SUM('By Lot - SIO'!G178,'By Lot - SIO'!G195,'By Lot - SIO'!G212,'By Lot - SIO'!G229)</f>
        <v>1</v>
      </c>
      <c r="F27" s="6">
        <f>SUM('By Lot - SIO'!H178,'By Lot - SIO'!H195,'By Lot - SIO'!H212,'By Lot - SIO'!H229)</f>
        <v>1</v>
      </c>
      <c r="G27" s="6">
        <f>SUM('By Lot - SIO'!I178,'By Lot - SIO'!I195,'By Lot - SIO'!I212,'By Lot - SIO'!I229)</f>
        <v>1</v>
      </c>
      <c r="H27" s="6">
        <f>SUM('By Lot - SIO'!J178,'By Lot - SIO'!J195,'By Lot - SIO'!J212,'By Lot - SIO'!J229)</f>
        <v>1</v>
      </c>
      <c r="I27" s="6">
        <f>SUM('By Lot - SIO'!K178,'By Lot - SIO'!K195,'By Lot - SIO'!K212,'By Lot - SIO'!K229)</f>
        <v>1</v>
      </c>
      <c r="J27" s="6">
        <f>SUM('By Lot - SIO'!L178,'By Lot - SIO'!L195,'By Lot - SIO'!L212,'By Lot - SIO'!L229)</f>
        <v>1</v>
      </c>
      <c r="K27" s="6">
        <f>SUM('By Lot - SIO'!M178,'By Lot - SIO'!M195,'By Lot - SIO'!M212,'By Lot - SIO'!M229)</f>
        <v>1</v>
      </c>
      <c r="L27" s="6">
        <f>SUM('By Lot - SIO'!N178,'By Lot - SIO'!N195,'By Lot - SIO'!N212,'By Lot - SIO'!N229)</f>
        <v>1</v>
      </c>
      <c r="M27" s="31">
        <f>SUM('By Lot - SIO'!O178,'By Lot - SIO'!O195,'By Lot - SIO'!O212,'By Lot - SIO'!O229)</f>
        <v>1</v>
      </c>
      <c r="N27" s="32">
        <f t="shared" si="7"/>
        <v>1</v>
      </c>
      <c r="O27" s="6">
        <f t="shared" si="8"/>
        <v>0</v>
      </c>
      <c r="P27" s="59">
        <f t="shared" si="9"/>
        <v>0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1.25" customHeight="1" x14ac:dyDescent="0.4">
      <c r="A28" s="34"/>
      <c r="B28" s="65" t="s">
        <v>314</v>
      </c>
      <c r="C28" s="65">
        <f t="shared" ref="C28:M28" si="10">SUM(C18:C27)</f>
        <v>76</v>
      </c>
      <c r="D28" s="104">
        <f t="shared" si="10"/>
        <v>58</v>
      </c>
      <c r="E28" s="128">
        <f t="shared" si="10"/>
        <v>40</v>
      </c>
      <c r="F28" s="128">
        <f t="shared" si="10"/>
        <v>14</v>
      </c>
      <c r="G28" s="128">
        <f t="shared" si="10"/>
        <v>11</v>
      </c>
      <c r="H28" s="128">
        <f t="shared" si="10"/>
        <v>6</v>
      </c>
      <c r="I28" s="128">
        <f t="shared" si="10"/>
        <v>8</v>
      </c>
      <c r="J28" s="128">
        <f t="shared" si="10"/>
        <v>9</v>
      </c>
      <c r="K28" s="128">
        <f t="shared" si="10"/>
        <v>19</v>
      </c>
      <c r="L28" s="128">
        <f t="shared" si="10"/>
        <v>24</v>
      </c>
      <c r="M28" s="129">
        <f t="shared" si="10"/>
        <v>26</v>
      </c>
      <c r="N28" s="104">
        <f t="shared" si="7"/>
        <v>6</v>
      </c>
      <c r="O28" s="128">
        <f t="shared" si="8"/>
        <v>70</v>
      </c>
      <c r="P28" s="72">
        <f t="shared" si="9"/>
        <v>0.92105263157894735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1.25" customHeight="1" x14ac:dyDescent="0.4">
      <c r="A29" s="15" t="s">
        <v>15</v>
      </c>
      <c r="B29" s="17" t="s">
        <v>300</v>
      </c>
      <c r="C29" s="17"/>
      <c r="D29" s="32"/>
      <c r="E29" s="6"/>
      <c r="F29" s="6"/>
      <c r="G29" s="6"/>
      <c r="H29" s="6"/>
      <c r="I29" s="6"/>
      <c r="J29" s="6"/>
      <c r="K29" s="6"/>
      <c r="L29" s="6"/>
      <c r="M29" s="31"/>
      <c r="N29" s="32"/>
      <c r="O29" s="6"/>
      <c r="P29" s="59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1.25" customHeight="1" x14ac:dyDescent="0.4">
      <c r="A30" s="17" t="s">
        <v>31</v>
      </c>
      <c r="B30" s="17" t="s">
        <v>301</v>
      </c>
      <c r="C30" s="130">
        <f>SUM('By Lot - SIO'!E232,'By Lot - SIO'!E249,'By Lot - SIO'!E266)</f>
        <v>0</v>
      </c>
      <c r="D30" s="97">
        <f>SUM('By Lot - SIO'!F232,'By Lot - SIO'!F249,'By Lot - SIO'!F266)</f>
        <v>0</v>
      </c>
      <c r="E30" s="98">
        <f>SUM('By Lot - SIO'!G232,'By Lot - SIO'!G249,'By Lot - SIO'!G266)</f>
        <v>0</v>
      </c>
      <c r="F30" s="98">
        <f>SUM('By Lot - SIO'!H232,'By Lot - SIO'!H249,'By Lot - SIO'!H266)</f>
        <v>0</v>
      </c>
      <c r="G30" s="98">
        <f>SUM('By Lot - SIO'!I232,'By Lot - SIO'!I249,'By Lot - SIO'!I266)</f>
        <v>0</v>
      </c>
      <c r="H30" s="98">
        <f>SUM('By Lot - SIO'!J232,'By Lot - SIO'!J249,'By Lot - SIO'!J266)</f>
        <v>0</v>
      </c>
      <c r="I30" s="100">
        <f>SUM('By Lot - SIO'!K232,'By Lot - SIO'!K249,'By Lot - SIO'!K266)</f>
        <v>0</v>
      </c>
      <c r="J30" s="100">
        <f>SUM('By Lot - SIO'!L232,'By Lot - SIO'!L249,'By Lot - SIO'!L266)</f>
        <v>0</v>
      </c>
      <c r="K30" s="98">
        <f>SUM('By Lot - SIO'!M232,'By Lot - SIO'!M249,'By Lot - SIO'!M266)</f>
        <v>0</v>
      </c>
      <c r="L30" s="100">
        <f>SUM('By Lot - SIO'!N232,'By Lot - SIO'!N249,'By Lot - SIO'!N266)</f>
        <v>0</v>
      </c>
      <c r="M30" s="131">
        <f>SUM('By Lot - SIO'!O232,'By Lot - SIO'!O249,'By Lot - SIO'!O266)</f>
        <v>0</v>
      </c>
      <c r="N30" s="97">
        <f t="shared" ref="N30:N32" si="11">MIN(D30:M30)</f>
        <v>0</v>
      </c>
      <c r="O30" s="98">
        <f t="shared" ref="O30:O32" si="12">C30-N30</f>
        <v>0</v>
      </c>
      <c r="P30" s="132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1.25" customHeight="1" x14ac:dyDescent="0.4">
      <c r="A31" s="17"/>
      <c r="B31" s="17" t="s">
        <v>303</v>
      </c>
      <c r="C31" s="130">
        <f>SUM('By Lot - SIO'!E233,'By Lot - SIO'!E250,'By Lot - SIO'!E267)</f>
        <v>0</v>
      </c>
      <c r="D31" s="97">
        <f>SUM('By Lot - SIO'!F233,'By Lot - SIO'!F250,'By Lot - SIO'!F267)</f>
        <v>0</v>
      </c>
      <c r="E31" s="98">
        <f>SUM('By Lot - SIO'!G233,'By Lot - SIO'!G250,'By Lot - SIO'!G267)</f>
        <v>0</v>
      </c>
      <c r="F31" s="98">
        <f>SUM('By Lot - SIO'!H233,'By Lot - SIO'!H250,'By Lot - SIO'!H267)</f>
        <v>0</v>
      </c>
      <c r="G31" s="98">
        <f>SUM('By Lot - SIO'!I233,'By Lot - SIO'!I250,'By Lot - SIO'!I267)</f>
        <v>0</v>
      </c>
      <c r="H31" s="98">
        <f>SUM('By Lot - SIO'!J233,'By Lot - SIO'!J250,'By Lot - SIO'!J267)</f>
        <v>0</v>
      </c>
      <c r="I31" s="100">
        <f>SUM('By Lot - SIO'!K233,'By Lot - SIO'!K250,'By Lot - SIO'!K267)</f>
        <v>0</v>
      </c>
      <c r="J31" s="100">
        <f>SUM('By Lot - SIO'!L233,'By Lot - SIO'!L250,'By Lot - SIO'!L267)</f>
        <v>0</v>
      </c>
      <c r="K31" s="100">
        <f>SUM('By Lot - SIO'!M233,'By Lot - SIO'!M250,'By Lot - SIO'!M267)</f>
        <v>0</v>
      </c>
      <c r="L31" s="100">
        <f>SUM('By Lot - SIO'!N233,'By Lot - SIO'!N250,'By Lot - SIO'!N267)</f>
        <v>0</v>
      </c>
      <c r="M31" s="131">
        <f>SUM('By Lot - SIO'!O233,'By Lot - SIO'!O250,'By Lot - SIO'!O267)</f>
        <v>0</v>
      </c>
      <c r="N31" s="97">
        <f t="shared" si="11"/>
        <v>0</v>
      </c>
      <c r="O31" s="98">
        <f t="shared" si="12"/>
        <v>0</v>
      </c>
      <c r="P31" s="132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1.25" customHeight="1" x14ac:dyDescent="0.4">
      <c r="A32" s="17"/>
      <c r="B32" s="17" t="s">
        <v>307</v>
      </c>
      <c r="C32" s="17">
        <f>SUM('By Lot - SIO'!E234:E235,'By Lot - SIO'!E251:E252,'By Lot - SIO'!E268:E269)</f>
        <v>4</v>
      </c>
      <c r="D32" s="32">
        <f>SUM('By Lot - SIO'!F234:F235,'By Lot - SIO'!F251:F252,'By Lot - SIO'!F268:F269)</f>
        <v>4</v>
      </c>
      <c r="E32" s="6">
        <f>SUM('By Lot - SIO'!G234:G235,'By Lot - SIO'!G251:G252,'By Lot - SIO'!G268:G269)</f>
        <v>4</v>
      </c>
      <c r="F32" s="6">
        <f>SUM('By Lot - SIO'!H234:H235,'By Lot - SIO'!H251:H252,'By Lot - SIO'!H268:H269)</f>
        <v>3</v>
      </c>
      <c r="G32" s="6">
        <f>SUM('By Lot - SIO'!I234:I235,'By Lot - SIO'!I251:I252,'By Lot - SIO'!I268:I269)</f>
        <v>3</v>
      </c>
      <c r="H32" s="6">
        <f>SUM('By Lot - SIO'!J234:J235,'By Lot - SIO'!J251:J252,'By Lot - SIO'!J268:J269)</f>
        <v>3</v>
      </c>
      <c r="I32" s="58">
        <f>SUM('By Lot - SIO'!K234:K235,'By Lot - SIO'!K251:K252,'By Lot - SIO'!K268:K269)</f>
        <v>3</v>
      </c>
      <c r="J32" s="58">
        <f>SUM('By Lot - SIO'!L234:L235,'By Lot - SIO'!L251:L252,'By Lot - SIO'!L268:L269)</f>
        <v>3</v>
      </c>
      <c r="K32" s="58">
        <f>SUM('By Lot - SIO'!M234:M235,'By Lot - SIO'!M251:M252,'By Lot - SIO'!M268:M269)</f>
        <v>3</v>
      </c>
      <c r="L32" s="58">
        <f>SUM('By Lot - SIO'!N234:N235,'By Lot - SIO'!N251:N252,'By Lot - SIO'!N268:N269)</f>
        <v>4</v>
      </c>
      <c r="M32" s="60">
        <f>SUM('By Lot - SIO'!O234:O235,'By Lot - SIO'!O251:O252,'By Lot - SIO'!O268:O269)</f>
        <v>4</v>
      </c>
      <c r="N32" s="32">
        <f t="shared" si="11"/>
        <v>3</v>
      </c>
      <c r="O32" s="6">
        <f t="shared" si="12"/>
        <v>1</v>
      </c>
      <c r="P32" s="59">
        <f>O32/C32</f>
        <v>0.25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1.25" customHeight="1" x14ac:dyDescent="0.4">
      <c r="A33" s="17"/>
      <c r="B33" s="17" t="s">
        <v>308</v>
      </c>
      <c r="C33" s="17"/>
      <c r="D33" s="32"/>
      <c r="E33" s="6"/>
      <c r="F33" s="6"/>
      <c r="G33" s="6"/>
      <c r="H33" s="6"/>
      <c r="I33" s="6"/>
      <c r="J33" s="6"/>
      <c r="K33" s="6"/>
      <c r="L33" s="6"/>
      <c r="M33" s="31"/>
      <c r="N33" s="32"/>
      <c r="O33" s="6"/>
      <c r="P33" s="59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4">
      <c r="A34" s="17"/>
      <c r="B34" s="17" t="s">
        <v>309</v>
      </c>
      <c r="C34" s="17">
        <f>SUM('By Lot - SIO'!E237:E242,'By Lot - SIO'!E254:E259,'By Lot - SIO'!E271:E276)</f>
        <v>151</v>
      </c>
      <c r="D34" s="32">
        <f>SUM('By Lot - SIO'!F237:F242,'By Lot - SIO'!F254:F259,'By Lot - SIO'!F271:F276)</f>
        <v>132</v>
      </c>
      <c r="E34" s="6">
        <f>SUM('By Lot - SIO'!G237:G242,'By Lot - SIO'!G254:G259,'By Lot - SIO'!G271:G276)</f>
        <v>111</v>
      </c>
      <c r="F34" s="6">
        <f>SUM('By Lot - SIO'!H237:H242,'By Lot - SIO'!H254:H259,'By Lot - SIO'!H271:H276)</f>
        <v>89</v>
      </c>
      <c r="G34" s="6">
        <f>SUM('By Lot - SIO'!I237:I242,'By Lot - SIO'!I254:I259,'By Lot - SIO'!I271:I276)</f>
        <v>76</v>
      </c>
      <c r="H34" s="6">
        <f>SUM('By Lot - SIO'!J237:J242,'By Lot - SIO'!J254:J259,'By Lot - SIO'!J271:J276)</f>
        <v>78</v>
      </c>
      <c r="I34" s="58">
        <f>SUM('By Lot - SIO'!K237:K242,'By Lot - SIO'!K254:K259,'By Lot - SIO'!K271:K276)</f>
        <v>71</v>
      </c>
      <c r="J34" s="58">
        <f>SUM('By Lot - SIO'!L237:L242,'By Lot - SIO'!L254:L259,'By Lot - SIO'!L271:L276)</f>
        <v>79</v>
      </c>
      <c r="K34" s="58">
        <f>SUM('By Lot - SIO'!M237:M242,'By Lot - SIO'!M254:M259,'By Lot - SIO'!M271:M276)</f>
        <v>63</v>
      </c>
      <c r="L34" s="58">
        <f>SUM('By Lot - SIO'!N237:N242,'By Lot - SIO'!N254:N259,'By Lot - SIO'!N271:N276)</f>
        <v>89</v>
      </c>
      <c r="M34" s="60">
        <f>SUM('By Lot - SIO'!O237:O242,'By Lot - SIO'!O254:O259,'By Lot - SIO'!O271:O276)</f>
        <v>115</v>
      </c>
      <c r="N34" s="32">
        <f t="shared" ref="N34:N35" si="13">MIN(D34:M34)</f>
        <v>63</v>
      </c>
      <c r="O34" s="6">
        <f t="shared" ref="O34:O35" si="14">C34-N34</f>
        <v>88</v>
      </c>
      <c r="P34" s="59">
        <f t="shared" ref="P34:P35" si="15">O34/C34</f>
        <v>0.58278145695364236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1.25" customHeight="1" x14ac:dyDescent="0.4">
      <c r="A35" s="17"/>
      <c r="B35" s="17" t="s">
        <v>310</v>
      </c>
      <c r="C35" s="17">
        <f>SUM('By Lot - SIO'!E243,'By Lot - SIO'!E260,'By Lot - SIO'!E277)</f>
        <v>6</v>
      </c>
      <c r="D35" s="32">
        <f>SUM('By Lot - SIO'!F243,'By Lot - SIO'!F260,'By Lot - SIO'!F277)</f>
        <v>6</v>
      </c>
      <c r="E35" s="6">
        <f>SUM('By Lot - SIO'!G243,'By Lot - SIO'!G260,'By Lot - SIO'!G277)</f>
        <v>6</v>
      </c>
      <c r="F35" s="6">
        <f>SUM('By Lot - SIO'!H243,'By Lot - SIO'!H260,'By Lot - SIO'!H277)</f>
        <v>5</v>
      </c>
      <c r="G35" s="6">
        <f>SUM('By Lot - SIO'!I243,'By Lot - SIO'!I260,'By Lot - SIO'!I277)</f>
        <v>5</v>
      </c>
      <c r="H35" s="6">
        <f>SUM('By Lot - SIO'!J243,'By Lot - SIO'!J260,'By Lot - SIO'!J277)</f>
        <v>5</v>
      </c>
      <c r="I35" s="58">
        <f>SUM('By Lot - SIO'!K243,'By Lot - SIO'!K260,'By Lot - SIO'!K277)</f>
        <v>5</v>
      </c>
      <c r="J35" s="58">
        <f>SUM('By Lot - SIO'!L243,'By Lot - SIO'!L260,'By Lot - SIO'!L277)</f>
        <v>5</v>
      </c>
      <c r="K35" s="58">
        <f>SUM('By Lot - SIO'!M243,'By Lot - SIO'!M260,'By Lot - SIO'!M277)</f>
        <v>5</v>
      </c>
      <c r="L35" s="58">
        <f>SUM('By Lot - SIO'!N243,'By Lot - SIO'!N260,'By Lot - SIO'!N277)</f>
        <v>6</v>
      </c>
      <c r="M35" s="60">
        <f>SUM('By Lot - SIO'!O243,'By Lot - SIO'!O260,'By Lot - SIO'!O277)</f>
        <v>6</v>
      </c>
      <c r="N35" s="32">
        <f t="shared" si="13"/>
        <v>5</v>
      </c>
      <c r="O35" s="6">
        <f t="shared" si="14"/>
        <v>1</v>
      </c>
      <c r="P35" s="59">
        <f t="shared" si="15"/>
        <v>0.16666666666666666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1.25" customHeight="1" x14ac:dyDescent="0.4">
      <c r="A36" s="17"/>
      <c r="B36" s="17" t="s">
        <v>311</v>
      </c>
      <c r="C36" s="17"/>
      <c r="D36" s="32"/>
      <c r="E36" s="6"/>
      <c r="F36" s="6"/>
      <c r="G36" s="6"/>
      <c r="H36" s="6"/>
      <c r="I36" s="6"/>
      <c r="J36" s="6"/>
      <c r="K36" s="6"/>
      <c r="L36" s="6"/>
      <c r="M36" s="31"/>
      <c r="N36" s="32"/>
      <c r="O36" s="6"/>
      <c r="P36" s="59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5" x14ac:dyDescent="0.4">
      <c r="A37" s="17"/>
      <c r="B37" s="17" t="s">
        <v>312</v>
      </c>
      <c r="C37" s="17"/>
      <c r="D37" s="32"/>
      <c r="E37" s="6"/>
      <c r="F37" s="6"/>
      <c r="G37" s="6"/>
      <c r="H37" s="6"/>
      <c r="I37" s="6"/>
      <c r="J37" s="6"/>
      <c r="K37" s="6"/>
      <c r="L37" s="6"/>
      <c r="M37" s="31"/>
      <c r="N37" s="32"/>
      <c r="O37" s="6"/>
      <c r="P37" s="59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1.25" customHeight="1" x14ac:dyDescent="0.4">
      <c r="A38" s="17"/>
      <c r="B38" s="17" t="s">
        <v>313</v>
      </c>
      <c r="C38" s="17">
        <f>SUM('By Lot - SIO'!E246,'By Lot - SIO'!E263,'By Lot - SIO'!E280)</f>
        <v>1</v>
      </c>
      <c r="D38" s="32">
        <f>SUM('By Lot - SIO'!F246,'By Lot - SIO'!F263,'By Lot - SIO'!F280)</f>
        <v>1</v>
      </c>
      <c r="E38" s="6">
        <f>SUM('By Lot - SIO'!G246,'By Lot - SIO'!G263,'By Lot - SIO'!G280)</f>
        <v>1</v>
      </c>
      <c r="F38" s="6">
        <f>SUM('By Lot - SIO'!H246,'By Lot - SIO'!H263,'By Lot - SIO'!H280)</f>
        <v>1</v>
      </c>
      <c r="G38" s="6">
        <f>SUM('By Lot - SIO'!I246,'By Lot - SIO'!I263,'By Lot - SIO'!I280)</f>
        <v>1</v>
      </c>
      <c r="H38" s="6">
        <f>SUM('By Lot - SIO'!J246,'By Lot - SIO'!J263,'By Lot - SIO'!J280)</f>
        <v>1</v>
      </c>
      <c r="I38" s="6">
        <f>SUM('By Lot - SIO'!K246,'By Lot - SIO'!K263,'By Lot - SIO'!K280)</f>
        <v>1</v>
      </c>
      <c r="J38" s="6">
        <f>SUM('By Lot - SIO'!L246,'By Lot - SIO'!L263,'By Lot - SIO'!L280)</f>
        <v>1</v>
      </c>
      <c r="K38" s="6">
        <f>SUM('By Lot - SIO'!M246,'By Lot - SIO'!M263,'By Lot - SIO'!M280)</f>
        <v>0</v>
      </c>
      <c r="L38" s="6">
        <f>SUM('By Lot - SIO'!N246,'By Lot - SIO'!N263,'By Lot - SIO'!N280)</f>
        <v>0</v>
      </c>
      <c r="M38" s="31">
        <f>SUM('By Lot - SIO'!O246,'By Lot - SIO'!O263,'By Lot - SIO'!O280)</f>
        <v>0</v>
      </c>
      <c r="N38" s="32">
        <f t="shared" ref="N38:N39" si="16">MIN(D38:M38)</f>
        <v>0</v>
      </c>
      <c r="O38" s="6">
        <f t="shared" ref="O38:O39" si="17">C38-N38</f>
        <v>1</v>
      </c>
      <c r="P38" s="59">
        <f t="shared" ref="P38:P39" si="18">O38/C38</f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1.25" customHeight="1" x14ac:dyDescent="0.4">
      <c r="A39" s="34"/>
      <c r="B39" s="65" t="s">
        <v>314</v>
      </c>
      <c r="C39" s="65">
        <f t="shared" ref="C39:M39" si="19">SUM(C29:C38)</f>
        <v>162</v>
      </c>
      <c r="D39" s="104">
        <f t="shared" si="19"/>
        <v>143</v>
      </c>
      <c r="E39" s="128">
        <f t="shared" si="19"/>
        <v>122</v>
      </c>
      <c r="F39" s="128">
        <f t="shared" si="19"/>
        <v>98</v>
      </c>
      <c r="G39" s="128">
        <f t="shared" si="19"/>
        <v>85</v>
      </c>
      <c r="H39" s="128">
        <f t="shared" si="19"/>
        <v>87</v>
      </c>
      <c r="I39" s="128">
        <f t="shared" si="19"/>
        <v>80</v>
      </c>
      <c r="J39" s="128">
        <f t="shared" si="19"/>
        <v>88</v>
      </c>
      <c r="K39" s="128">
        <f t="shared" si="19"/>
        <v>71</v>
      </c>
      <c r="L39" s="128">
        <f t="shared" si="19"/>
        <v>99</v>
      </c>
      <c r="M39" s="129">
        <f t="shared" si="19"/>
        <v>125</v>
      </c>
      <c r="N39" s="104">
        <f t="shared" si="16"/>
        <v>71</v>
      </c>
      <c r="O39" s="128">
        <f t="shared" si="17"/>
        <v>91</v>
      </c>
      <c r="P39" s="72">
        <f t="shared" si="18"/>
        <v>0.56172839506172845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1.25" customHeight="1" x14ac:dyDescent="0.4">
      <c r="A40" s="15" t="s">
        <v>16</v>
      </c>
      <c r="B40" s="17" t="s">
        <v>300</v>
      </c>
      <c r="C40" s="17"/>
      <c r="D40" s="32"/>
      <c r="E40" s="6"/>
      <c r="F40" s="6"/>
      <c r="G40" s="6"/>
      <c r="H40" s="6"/>
      <c r="I40" s="6"/>
      <c r="J40" s="6"/>
      <c r="K40" s="6"/>
      <c r="L40" s="6"/>
      <c r="M40" s="31"/>
      <c r="N40" s="32"/>
      <c r="O40" s="6"/>
      <c r="P40" s="59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1.25" customHeight="1" x14ac:dyDescent="0.4">
      <c r="A41" s="17"/>
      <c r="B41" s="17" t="s">
        <v>301</v>
      </c>
      <c r="C41" s="17"/>
      <c r="D41" s="32"/>
      <c r="E41" s="6"/>
      <c r="F41" s="6"/>
      <c r="G41" s="6"/>
      <c r="H41" s="6"/>
      <c r="I41" s="6"/>
      <c r="J41" s="6"/>
      <c r="K41" s="6"/>
      <c r="L41" s="6"/>
      <c r="M41" s="31"/>
      <c r="N41" s="32"/>
      <c r="O41" s="6"/>
      <c r="P41" s="59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1.25" customHeight="1" x14ac:dyDescent="0.4">
      <c r="A42" s="17"/>
      <c r="B42" s="17" t="s">
        <v>303</v>
      </c>
      <c r="C42" s="17"/>
      <c r="D42" s="32"/>
      <c r="E42" s="6"/>
      <c r="F42" s="6"/>
      <c r="G42" s="6"/>
      <c r="H42" s="6"/>
      <c r="I42" s="6"/>
      <c r="J42" s="6"/>
      <c r="K42" s="6"/>
      <c r="L42" s="6"/>
      <c r="M42" s="31"/>
      <c r="N42" s="32"/>
      <c r="O42" s="6"/>
      <c r="P42" s="59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1.25" customHeight="1" x14ac:dyDescent="0.4">
      <c r="A43" s="17"/>
      <c r="B43" s="17" t="s">
        <v>307</v>
      </c>
      <c r="C43" s="17"/>
      <c r="D43" s="32"/>
      <c r="E43" s="6"/>
      <c r="F43" s="6"/>
      <c r="G43" s="6"/>
      <c r="H43" s="6"/>
      <c r="I43" s="6"/>
      <c r="J43" s="6"/>
      <c r="K43" s="6"/>
      <c r="L43" s="6"/>
      <c r="M43" s="31"/>
      <c r="N43" s="32"/>
      <c r="O43" s="6"/>
      <c r="P43" s="59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1.25" customHeight="1" x14ac:dyDescent="0.4">
      <c r="A44" s="17"/>
      <c r="B44" s="17" t="s">
        <v>308</v>
      </c>
      <c r="C44" s="17"/>
      <c r="D44" s="32"/>
      <c r="E44" s="6"/>
      <c r="F44" s="6"/>
      <c r="G44" s="6"/>
      <c r="H44" s="6"/>
      <c r="I44" s="6"/>
      <c r="J44" s="6"/>
      <c r="K44" s="6"/>
      <c r="L44" s="6"/>
      <c r="M44" s="31"/>
      <c r="N44" s="32"/>
      <c r="O44" s="6"/>
      <c r="P44" s="59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1.25" customHeight="1" x14ac:dyDescent="0.4">
      <c r="A45" s="17"/>
      <c r="B45" s="17" t="s">
        <v>309</v>
      </c>
      <c r="C45" s="17">
        <f>SUM('By Lot - SIO'!E288:E293,'By Lot - SIO'!E305:E310)</f>
        <v>335</v>
      </c>
      <c r="D45" s="32">
        <f>SUM('By Lot - SIO'!F288:F293,'By Lot - SIO'!F305:F310)</f>
        <v>296</v>
      </c>
      <c r="E45" s="6">
        <f>SUM('By Lot - SIO'!G288:G293,'By Lot - SIO'!G305:G310)</f>
        <v>264</v>
      </c>
      <c r="F45" s="6">
        <f>SUM('By Lot - SIO'!H288:H293,'By Lot - SIO'!H305:H310)</f>
        <v>174</v>
      </c>
      <c r="G45" s="58">
        <f>SUM('By Lot - SIO'!I288:I293,'By Lot - SIO'!I305:I310)</f>
        <v>99</v>
      </c>
      <c r="H45" s="6">
        <f>SUM('By Lot - SIO'!J288:J293,'By Lot - SIO'!J305:J310)</f>
        <v>87</v>
      </c>
      <c r="I45" s="58">
        <f>SUM('By Lot - SIO'!K288:K293,'By Lot - SIO'!K305:K310)</f>
        <v>63</v>
      </c>
      <c r="J45" s="58">
        <f>SUM('By Lot - SIO'!L288:L293,'By Lot - SIO'!L305:L310)</f>
        <v>73</v>
      </c>
      <c r="K45" s="58">
        <f>SUM('By Lot - SIO'!M288:M293,'By Lot - SIO'!M305:M310)</f>
        <v>95</v>
      </c>
      <c r="L45" s="58">
        <f>SUM('By Lot - SIO'!N288:N293,'By Lot - SIO'!N305:N310)</f>
        <v>140</v>
      </c>
      <c r="M45" s="60">
        <f>SUM('By Lot - SIO'!O288:O293,'By Lot - SIO'!O305:O310)</f>
        <v>201</v>
      </c>
      <c r="N45" s="32">
        <f t="shared" ref="N45:N46" si="20">MIN(D45:M45)</f>
        <v>63</v>
      </c>
      <c r="O45" s="6">
        <f t="shared" ref="O45:O46" si="21">C45-N45</f>
        <v>272</v>
      </c>
      <c r="P45" s="59">
        <f t="shared" ref="P45:P46" si="22">O45/C45</f>
        <v>0.81194029850746263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1.25" customHeight="1" x14ac:dyDescent="0.4">
      <c r="A46" s="17"/>
      <c r="B46" s="17" t="s">
        <v>310</v>
      </c>
      <c r="C46" s="17">
        <f>SUM('By Lot - SIO'!E294,'By Lot - SIO'!E311)</f>
        <v>9</v>
      </c>
      <c r="D46" s="32">
        <f>SUM('By Lot - SIO'!F294,'By Lot - SIO'!F311)</f>
        <v>8</v>
      </c>
      <c r="E46" s="6">
        <f>SUM('By Lot - SIO'!G294,'By Lot - SIO'!G311)</f>
        <v>9</v>
      </c>
      <c r="F46" s="6">
        <f>SUM('By Lot - SIO'!H294,'By Lot - SIO'!H311)</f>
        <v>6</v>
      </c>
      <c r="G46" s="6">
        <f>SUM('By Lot - SIO'!I294,'By Lot - SIO'!I311)</f>
        <v>7</v>
      </c>
      <c r="H46" s="6">
        <f>SUM('By Lot - SIO'!J294,'By Lot - SIO'!J311)</f>
        <v>7</v>
      </c>
      <c r="I46" s="58">
        <f>SUM('By Lot - SIO'!K294,'By Lot - SIO'!K311)</f>
        <v>0</v>
      </c>
      <c r="J46" s="58">
        <f>SUM('By Lot - SIO'!L294,'By Lot - SIO'!L311)</f>
        <v>0</v>
      </c>
      <c r="K46" s="58">
        <f>SUM('By Lot - SIO'!M294,'By Lot - SIO'!M311)</f>
        <v>4</v>
      </c>
      <c r="L46" s="58">
        <f>SUM('By Lot - SIO'!N294,'By Lot - SIO'!N311)</f>
        <v>3</v>
      </c>
      <c r="M46" s="60">
        <f>SUM('By Lot - SIO'!O294,'By Lot - SIO'!O311)</f>
        <v>3</v>
      </c>
      <c r="N46" s="32">
        <f t="shared" si="20"/>
        <v>0</v>
      </c>
      <c r="O46" s="6">
        <f t="shared" si="21"/>
        <v>9</v>
      </c>
      <c r="P46" s="59">
        <f t="shared" si="22"/>
        <v>1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1.25" customHeight="1" x14ac:dyDescent="0.4">
      <c r="A47" s="17"/>
      <c r="B47" s="17" t="s">
        <v>311</v>
      </c>
      <c r="C47" s="17"/>
      <c r="D47" s="32"/>
      <c r="E47" s="6"/>
      <c r="F47" s="6"/>
      <c r="G47" s="6"/>
      <c r="H47" s="6"/>
      <c r="I47" s="6"/>
      <c r="J47" s="6"/>
      <c r="K47" s="6"/>
      <c r="L47" s="6"/>
      <c r="M47" s="31"/>
      <c r="N47" s="32"/>
      <c r="O47" s="6"/>
      <c r="P47" s="59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1.25" customHeight="1" x14ac:dyDescent="0.4">
      <c r="A48" s="17"/>
      <c r="B48" s="17" t="s">
        <v>312</v>
      </c>
      <c r="C48" s="17"/>
      <c r="D48" s="32"/>
      <c r="E48" s="6"/>
      <c r="F48" s="6"/>
      <c r="G48" s="6"/>
      <c r="H48" s="6"/>
      <c r="I48" s="6"/>
      <c r="J48" s="6"/>
      <c r="K48" s="6"/>
      <c r="L48" s="6"/>
      <c r="M48" s="31"/>
      <c r="N48" s="32"/>
      <c r="O48" s="6"/>
      <c r="P48" s="59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1.25" customHeight="1" x14ac:dyDescent="0.4">
      <c r="A49" s="17"/>
      <c r="B49" s="17" t="s">
        <v>313</v>
      </c>
      <c r="C49" s="17"/>
      <c r="D49" s="32"/>
      <c r="E49" s="6"/>
      <c r="F49" s="6"/>
      <c r="G49" s="6"/>
      <c r="H49" s="6"/>
      <c r="I49" s="6"/>
      <c r="J49" s="6"/>
      <c r="K49" s="6"/>
      <c r="L49" s="6"/>
      <c r="M49" s="31"/>
      <c r="N49" s="32"/>
      <c r="O49" s="6"/>
      <c r="P49" s="59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1.25" customHeight="1" x14ac:dyDescent="0.4">
      <c r="A50" s="34"/>
      <c r="B50" s="65" t="s">
        <v>314</v>
      </c>
      <c r="C50" s="65">
        <f t="shared" ref="C50:M50" si="23">SUM(C40:C49)</f>
        <v>344</v>
      </c>
      <c r="D50" s="104">
        <f t="shared" si="23"/>
        <v>304</v>
      </c>
      <c r="E50" s="128">
        <f t="shared" si="23"/>
        <v>273</v>
      </c>
      <c r="F50" s="128">
        <f t="shared" si="23"/>
        <v>180</v>
      </c>
      <c r="G50" s="128">
        <f t="shared" si="23"/>
        <v>106</v>
      </c>
      <c r="H50" s="128">
        <f t="shared" si="23"/>
        <v>94</v>
      </c>
      <c r="I50" s="128">
        <f t="shared" si="23"/>
        <v>63</v>
      </c>
      <c r="J50" s="128">
        <f t="shared" si="23"/>
        <v>73</v>
      </c>
      <c r="K50" s="128">
        <f t="shared" si="23"/>
        <v>99</v>
      </c>
      <c r="L50" s="128">
        <f t="shared" si="23"/>
        <v>143</v>
      </c>
      <c r="M50" s="129">
        <f t="shared" si="23"/>
        <v>204</v>
      </c>
      <c r="N50" s="104">
        <f>MIN(D50:M50)</f>
        <v>63</v>
      </c>
      <c r="O50" s="128">
        <f>C50-N50</f>
        <v>281</v>
      </c>
      <c r="P50" s="72">
        <f>O50/C50</f>
        <v>0.81686046511627908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1.25" customHeight="1" x14ac:dyDescent="0.4">
      <c r="A51" s="133" t="s">
        <v>17</v>
      </c>
      <c r="B51" s="24" t="s">
        <v>300</v>
      </c>
      <c r="C51" s="24"/>
      <c r="D51" s="134"/>
      <c r="E51" s="135"/>
      <c r="F51" s="135"/>
      <c r="G51" s="135"/>
      <c r="H51" s="135"/>
      <c r="I51" s="135"/>
      <c r="J51" s="135"/>
      <c r="K51" s="135"/>
      <c r="L51" s="135"/>
      <c r="M51" s="136"/>
      <c r="N51" s="134"/>
      <c r="O51" s="135"/>
      <c r="P51" s="137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1.25" customHeight="1" x14ac:dyDescent="0.4">
      <c r="A52" s="134" t="s">
        <v>32</v>
      </c>
      <c r="B52" s="24" t="s">
        <v>301</v>
      </c>
      <c r="C52" s="24"/>
      <c r="D52" s="134"/>
      <c r="E52" s="135"/>
      <c r="F52" s="135"/>
      <c r="G52" s="135"/>
      <c r="H52" s="135"/>
      <c r="I52" s="135"/>
      <c r="J52" s="135"/>
      <c r="K52" s="135"/>
      <c r="L52" s="135"/>
      <c r="M52" s="136"/>
      <c r="N52" s="134"/>
      <c r="O52" s="135"/>
      <c r="P52" s="137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1.25" customHeight="1" x14ac:dyDescent="0.4">
      <c r="A53" s="134"/>
      <c r="B53" s="24" t="s">
        <v>303</v>
      </c>
      <c r="C53" s="24"/>
      <c r="D53" s="134"/>
      <c r="E53" s="135"/>
      <c r="F53" s="135"/>
      <c r="G53" s="135"/>
      <c r="H53" s="135"/>
      <c r="I53" s="135"/>
      <c r="J53" s="135"/>
      <c r="K53" s="135"/>
      <c r="L53" s="135"/>
      <c r="M53" s="136"/>
      <c r="N53" s="134"/>
      <c r="O53" s="135"/>
      <c r="P53" s="137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1.25" customHeight="1" x14ac:dyDescent="0.4">
      <c r="A54" s="134" t="s">
        <v>330</v>
      </c>
      <c r="B54" s="24" t="s">
        <v>307</v>
      </c>
      <c r="C54" s="24"/>
      <c r="D54" s="134"/>
      <c r="E54" s="135"/>
      <c r="F54" s="135"/>
      <c r="G54" s="135"/>
      <c r="H54" s="135"/>
      <c r="I54" s="135"/>
      <c r="J54" s="135"/>
      <c r="K54" s="135"/>
      <c r="L54" s="135"/>
      <c r="M54" s="136"/>
      <c r="N54" s="134"/>
      <c r="O54" s="135"/>
      <c r="P54" s="137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1.25" customHeight="1" x14ac:dyDescent="0.4">
      <c r="A55" s="134" t="s">
        <v>331</v>
      </c>
      <c r="B55" s="24" t="s">
        <v>308</v>
      </c>
      <c r="C55" s="24"/>
      <c r="D55" s="134"/>
      <c r="E55" s="135"/>
      <c r="F55" s="135"/>
      <c r="G55" s="135"/>
      <c r="H55" s="135"/>
      <c r="I55" s="135"/>
      <c r="J55" s="135"/>
      <c r="K55" s="135"/>
      <c r="L55" s="135"/>
      <c r="M55" s="136"/>
      <c r="N55" s="134"/>
      <c r="O55" s="135"/>
      <c r="P55" s="137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1.25" customHeight="1" x14ac:dyDescent="0.4">
      <c r="A56" s="134" t="s">
        <v>332</v>
      </c>
      <c r="B56" s="24" t="s">
        <v>309</v>
      </c>
      <c r="C56" s="24"/>
      <c r="D56" s="134"/>
      <c r="E56" s="135"/>
      <c r="F56" s="135"/>
      <c r="G56" s="135"/>
      <c r="H56" s="135"/>
      <c r="I56" s="138"/>
      <c r="J56" s="138"/>
      <c r="K56" s="138"/>
      <c r="L56" s="138"/>
      <c r="M56" s="139"/>
      <c r="N56" s="134"/>
      <c r="O56" s="135"/>
      <c r="P56" s="137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1.25" customHeight="1" x14ac:dyDescent="0.4">
      <c r="A57" s="134"/>
      <c r="B57" s="24" t="s">
        <v>310</v>
      </c>
      <c r="C57" s="24"/>
      <c r="D57" s="134"/>
      <c r="E57" s="135"/>
      <c r="F57" s="135"/>
      <c r="G57" s="135"/>
      <c r="H57" s="135"/>
      <c r="I57" s="138"/>
      <c r="J57" s="138"/>
      <c r="K57" s="138"/>
      <c r="L57" s="138"/>
      <c r="M57" s="139"/>
      <c r="N57" s="134"/>
      <c r="O57" s="135"/>
      <c r="P57" s="137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1.25" customHeight="1" x14ac:dyDescent="0.4">
      <c r="A58" s="134"/>
      <c r="B58" s="24" t="s">
        <v>311</v>
      </c>
      <c r="C58" s="24"/>
      <c r="D58" s="134"/>
      <c r="E58" s="135"/>
      <c r="F58" s="135"/>
      <c r="G58" s="135"/>
      <c r="H58" s="135"/>
      <c r="I58" s="135"/>
      <c r="J58" s="135"/>
      <c r="K58" s="135"/>
      <c r="L58" s="135"/>
      <c r="M58" s="136"/>
      <c r="N58" s="134"/>
      <c r="O58" s="135"/>
      <c r="P58" s="137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1.25" customHeight="1" x14ac:dyDescent="0.4">
      <c r="A59" s="134"/>
      <c r="B59" s="24" t="s">
        <v>312</v>
      </c>
      <c r="C59" s="24"/>
      <c r="D59" s="134"/>
      <c r="E59" s="135"/>
      <c r="F59" s="135"/>
      <c r="G59" s="135"/>
      <c r="H59" s="135"/>
      <c r="I59" s="135"/>
      <c r="J59" s="135"/>
      <c r="K59" s="135"/>
      <c r="L59" s="135"/>
      <c r="M59" s="136"/>
      <c r="N59" s="134"/>
      <c r="O59" s="135"/>
      <c r="P59" s="137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.25" customHeight="1" x14ac:dyDescent="0.4">
      <c r="A60" s="134"/>
      <c r="B60" s="24" t="s">
        <v>313</v>
      </c>
      <c r="C60" s="24"/>
      <c r="D60" s="134"/>
      <c r="E60" s="135"/>
      <c r="F60" s="135"/>
      <c r="G60" s="135"/>
      <c r="H60" s="135"/>
      <c r="I60" s="135"/>
      <c r="J60" s="135"/>
      <c r="K60" s="135"/>
      <c r="L60" s="135"/>
      <c r="M60" s="136"/>
      <c r="N60" s="134"/>
      <c r="O60" s="135"/>
      <c r="P60" s="137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1.25" customHeight="1" x14ac:dyDescent="0.4">
      <c r="A61" s="140"/>
      <c r="B61" s="141" t="s">
        <v>314</v>
      </c>
      <c r="C61" s="141"/>
      <c r="D61" s="142"/>
      <c r="E61" s="143"/>
      <c r="F61" s="143"/>
      <c r="G61" s="143"/>
      <c r="H61" s="143"/>
      <c r="I61" s="143"/>
      <c r="J61" s="143"/>
      <c r="K61" s="143"/>
      <c r="L61" s="143"/>
      <c r="M61" s="144"/>
      <c r="N61" s="142"/>
      <c r="O61" s="143"/>
      <c r="P61" s="14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1.25" customHeight="1" x14ac:dyDescent="0.4">
      <c r="A62" s="15" t="s">
        <v>18</v>
      </c>
      <c r="B62" s="146" t="s">
        <v>300</v>
      </c>
      <c r="C62" s="146"/>
      <c r="D62" s="147"/>
      <c r="E62" s="148"/>
      <c r="F62" s="148"/>
      <c r="G62" s="148"/>
      <c r="H62" s="148"/>
      <c r="I62" s="148"/>
      <c r="J62" s="148"/>
      <c r="K62" s="148"/>
      <c r="L62" s="148"/>
      <c r="M62" s="149"/>
      <c r="N62" s="147"/>
      <c r="O62" s="148"/>
      <c r="P62" s="150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1.25" customHeight="1" x14ac:dyDescent="0.4">
      <c r="A63" s="17" t="s">
        <v>33</v>
      </c>
      <c r="B63" s="146" t="s">
        <v>333</v>
      </c>
      <c r="C63" s="146"/>
      <c r="D63" s="147"/>
      <c r="E63" s="148"/>
      <c r="F63" s="148"/>
      <c r="G63" s="148"/>
      <c r="H63" s="148"/>
      <c r="I63" s="151"/>
      <c r="J63" s="151"/>
      <c r="K63" s="151"/>
      <c r="L63" s="151"/>
      <c r="M63" s="152"/>
      <c r="N63" s="147"/>
      <c r="O63" s="148"/>
      <c r="P63" s="150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1.25" customHeight="1" x14ac:dyDescent="0.4">
      <c r="A64" s="17"/>
      <c r="B64" s="146" t="s">
        <v>334</v>
      </c>
      <c r="C64" s="153"/>
      <c r="D64" s="154"/>
      <c r="E64" s="151"/>
      <c r="F64" s="151"/>
      <c r="G64" s="151"/>
      <c r="H64" s="151"/>
      <c r="I64" s="151"/>
      <c r="J64" s="151"/>
      <c r="K64" s="151"/>
      <c r="L64" s="151"/>
      <c r="M64" s="152"/>
      <c r="N64" s="154"/>
      <c r="O64" s="151"/>
      <c r="P64" s="150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1.25" customHeight="1" x14ac:dyDescent="0.4">
      <c r="A65" s="146" t="s">
        <v>335</v>
      </c>
      <c r="B65" s="146" t="s">
        <v>301</v>
      </c>
      <c r="C65" s="146"/>
      <c r="D65" s="147"/>
      <c r="E65" s="148"/>
      <c r="F65" s="148"/>
      <c r="G65" s="148"/>
      <c r="H65" s="148"/>
      <c r="I65" s="148"/>
      <c r="J65" s="148"/>
      <c r="K65" s="148"/>
      <c r="L65" s="148"/>
      <c r="M65" s="149"/>
      <c r="N65" s="147"/>
      <c r="O65" s="148"/>
      <c r="P65" s="150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1.25" customHeight="1" x14ac:dyDescent="0.4">
      <c r="A66" s="146" t="s">
        <v>336</v>
      </c>
      <c r="B66" s="146" t="s">
        <v>303</v>
      </c>
      <c r="C66" s="146"/>
      <c r="D66" s="147"/>
      <c r="E66" s="148"/>
      <c r="F66" s="148"/>
      <c r="G66" s="148"/>
      <c r="H66" s="148"/>
      <c r="I66" s="148"/>
      <c r="J66" s="148"/>
      <c r="K66" s="148"/>
      <c r="L66" s="148"/>
      <c r="M66" s="149"/>
      <c r="N66" s="147"/>
      <c r="O66" s="148"/>
      <c r="P66" s="150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1.25" customHeight="1" x14ac:dyDescent="0.4">
      <c r="A67" s="146" t="s">
        <v>337</v>
      </c>
      <c r="B67" s="146" t="s">
        <v>307</v>
      </c>
      <c r="C67" s="146">
        <f>SUM('By Lot - West Campus'!E11:E12,'By Lot - West Campus'!E81:E82,'By Lot - West Campus'!E98:E99,'By Lot - West Campus'!E115:E116,'By Lot - West Campus'!E132:E133,'By Lot - West Campus'!E166:E167,'By Lot - West Campus'!E217:E218)</f>
        <v>2</v>
      </c>
      <c r="D67" s="32">
        <f>SUM('By Lot - West Campus'!F11:F12,'By Lot - West Campus'!F81:F82,'By Lot - West Campus'!F98:F99,'By Lot - West Campus'!F115:F116,'By Lot - West Campus'!F132:F133,'By Lot - West Campus'!F166:F167,'By Lot - West Campus'!F217:F218)</f>
        <v>0</v>
      </c>
      <c r="E67" s="6">
        <f>SUM('By Lot - West Campus'!G11:G12,'By Lot - West Campus'!G81:G82,'By Lot - West Campus'!G98:G99,'By Lot - West Campus'!G115:G116,'By Lot - West Campus'!G132:G133,'By Lot - West Campus'!G166:G167,'By Lot - West Campus'!G217:G218)</f>
        <v>0</v>
      </c>
      <c r="F67" s="6">
        <f>SUM('By Lot - West Campus'!H11:H12,'By Lot - West Campus'!H81:H82,'By Lot - West Campus'!H98:H99,'By Lot - West Campus'!H115:H116,'By Lot - West Campus'!H132:H133,'By Lot - West Campus'!H166:H167,'By Lot - West Campus'!H217:H218)</f>
        <v>0</v>
      </c>
      <c r="G67" s="6">
        <f>SUM('By Lot - West Campus'!I11:I12,'By Lot - West Campus'!I81:I82,'By Lot - West Campus'!I98:I99,'By Lot - West Campus'!I115:I116,'By Lot - West Campus'!I132:I133,'By Lot - West Campus'!I166:I167,'By Lot - West Campus'!I217:I218)</f>
        <v>0</v>
      </c>
      <c r="H67" s="6">
        <f>SUM('By Lot - West Campus'!J11:J12,'By Lot - West Campus'!J81:J82,'By Lot - West Campus'!J98:J99,'By Lot - West Campus'!J115:J116,'By Lot - West Campus'!J132:J133,'By Lot - West Campus'!J166:J167,'By Lot - West Campus'!J217:J218)</f>
        <v>0</v>
      </c>
      <c r="I67" s="58">
        <f>SUM('By Lot - West Campus'!K11:K12,'By Lot - West Campus'!K81:K82,'By Lot - West Campus'!K98:K99,'By Lot - West Campus'!K115:K116,'By Lot - West Campus'!K132:K133,'By Lot - West Campus'!K166:K167,'By Lot - West Campus'!K217:K218)</f>
        <v>0</v>
      </c>
      <c r="J67" s="58">
        <f>SUM('By Lot - West Campus'!L11:L12,'By Lot - West Campus'!L81:L82,'By Lot - West Campus'!L98:L99,'By Lot - West Campus'!L115:L116,'By Lot - West Campus'!L132:L133,'By Lot - West Campus'!L166:L167,'By Lot - West Campus'!L217:L218)</f>
        <v>0</v>
      </c>
      <c r="K67" s="58">
        <f>SUM('By Lot - West Campus'!M11:M12,'By Lot - West Campus'!M81:M82,'By Lot - West Campus'!M98:M99,'By Lot - West Campus'!M115:M116,'By Lot - West Campus'!M132:M133,'By Lot - West Campus'!M166:M167,'By Lot - West Campus'!M217:M218)</f>
        <v>1</v>
      </c>
      <c r="L67" s="58">
        <f>SUM('By Lot - West Campus'!N11:N12,'By Lot - West Campus'!N81:N82,'By Lot - West Campus'!N98:N99,'By Lot - West Campus'!N115:N116,'By Lot - West Campus'!N132:N133,'By Lot - West Campus'!N166:N167,'By Lot - West Campus'!N217:N218)</f>
        <v>1</v>
      </c>
      <c r="M67" s="31">
        <f>SUM('By Lot - West Campus'!O11:O12,'By Lot - West Campus'!O81:O82,'By Lot - West Campus'!O98:O99,'By Lot - West Campus'!O115:O116,'By Lot - West Campus'!O132:O133,'By Lot - West Campus'!O166:O167,'By Lot - West Campus'!O217:O218)</f>
        <v>2</v>
      </c>
      <c r="N67" s="32">
        <f t="shared" ref="N67:N72" si="24">MIN(D67:M67)</f>
        <v>0</v>
      </c>
      <c r="O67" s="6">
        <f t="shared" ref="O67:O72" si="25">C67-N67</f>
        <v>2</v>
      </c>
      <c r="P67" s="59">
        <f t="shared" ref="P67:P72" si="26">O67/C67</f>
        <v>1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1.25" customHeight="1" x14ac:dyDescent="0.4">
      <c r="A68" s="146" t="s">
        <v>332</v>
      </c>
      <c r="B68" s="17" t="s">
        <v>308</v>
      </c>
      <c r="C68" s="17">
        <f>SUM('By Lot - West Campus'!E13,'By Lot - West Campus'!E30,'By Lot - West Campus'!E49,'By Lot - West Campus'!E83,'By Lot - West Campus'!E100,'By Lot - West Campus'!E117,'By Lot - West Campus'!E134,'By Lot - West Campus'!E168,'By Lot - West Campus'!E219)</f>
        <v>5</v>
      </c>
      <c r="D68" s="32">
        <f>SUM('By Lot - West Campus'!F13,'By Lot - West Campus'!F30,'By Lot - West Campus'!F49,'By Lot - West Campus'!F83,'By Lot - West Campus'!F100,'By Lot - West Campus'!F117,'By Lot - West Campus'!F134,'By Lot - West Campus'!F168,'By Lot - West Campus'!F219)</f>
        <v>4</v>
      </c>
      <c r="E68" s="6">
        <f>SUM('By Lot - West Campus'!G13,'By Lot - West Campus'!G30,'By Lot - West Campus'!G49,'By Lot - West Campus'!G83,'By Lot - West Campus'!G100,'By Lot - West Campus'!G117,'By Lot - West Campus'!G134,'By Lot - West Campus'!G168,'By Lot - West Campus'!G219)</f>
        <v>3</v>
      </c>
      <c r="F68" s="6">
        <f>SUM('By Lot - West Campus'!H13,'By Lot - West Campus'!H30,'By Lot - West Campus'!H49,'By Lot - West Campus'!H83,'By Lot - West Campus'!H100,'By Lot - West Campus'!H117,'By Lot - West Campus'!H134,'By Lot - West Campus'!H168,'By Lot - West Campus'!H219)</f>
        <v>4</v>
      </c>
      <c r="G68" s="6">
        <f>SUM('By Lot - West Campus'!I13,'By Lot - West Campus'!I30,'By Lot - West Campus'!I49,'By Lot - West Campus'!I83,'By Lot - West Campus'!I100,'By Lot - West Campus'!I117,'By Lot - West Campus'!I134,'By Lot - West Campus'!I168,'By Lot - West Campus'!I219)</f>
        <v>0</v>
      </c>
      <c r="H68" s="6">
        <f>SUM('By Lot - West Campus'!J13,'By Lot - West Campus'!J30,'By Lot - West Campus'!J49,'By Lot - West Campus'!J83,'By Lot - West Campus'!J100,'By Lot - West Campus'!J117,'By Lot - West Campus'!J134,'By Lot - West Campus'!J168,'By Lot - West Campus'!J219)</f>
        <v>0</v>
      </c>
      <c r="I68" s="58">
        <f>SUM('By Lot - West Campus'!K13,'By Lot - West Campus'!K30,'By Lot - West Campus'!K49,'By Lot - West Campus'!K83,'By Lot - West Campus'!K100,'By Lot - West Campus'!K117,'By Lot - West Campus'!K134,'By Lot - West Campus'!K168,'By Lot - West Campus'!K219)</f>
        <v>0</v>
      </c>
      <c r="J68" s="58">
        <f>SUM('By Lot - West Campus'!L13,'By Lot - West Campus'!L30,'By Lot - West Campus'!L49,'By Lot - West Campus'!L83,'By Lot - West Campus'!L100,'By Lot - West Campus'!L117,'By Lot - West Campus'!L134,'By Lot - West Campus'!L168,'By Lot - West Campus'!L219)</f>
        <v>2</v>
      </c>
      <c r="K68" s="58">
        <f>SUM('By Lot - West Campus'!M13,'By Lot - West Campus'!M30,'By Lot - West Campus'!M49,'By Lot - West Campus'!M83,'By Lot - West Campus'!M100,'By Lot - West Campus'!M117,'By Lot - West Campus'!M134,'By Lot - West Campus'!M168,'By Lot - West Campus'!M219)</f>
        <v>3</v>
      </c>
      <c r="L68" s="58">
        <f>SUM('By Lot - West Campus'!N13,'By Lot - West Campus'!N30,'By Lot - West Campus'!N49,'By Lot - West Campus'!N83,'By Lot - West Campus'!N100,'By Lot - West Campus'!N117,'By Lot - West Campus'!N134,'By Lot - West Campus'!N168,'By Lot - West Campus'!N219)</f>
        <v>4</v>
      </c>
      <c r="M68" s="60">
        <f>SUM('By Lot - West Campus'!O13,'By Lot - West Campus'!O30,'By Lot - West Campus'!O49,'By Lot - West Campus'!O83,'By Lot - West Campus'!O100,'By Lot - West Campus'!O117,'By Lot - West Campus'!O134,'By Lot - West Campus'!O168,'By Lot - West Campus'!O219)</f>
        <v>5</v>
      </c>
      <c r="N68" s="32">
        <f t="shared" si="24"/>
        <v>0</v>
      </c>
      <c r="O68" s="6">
        <f t="shared" si="25"/>
        <v>5</v>
      </c>
      <c r="P68" s="59">
        <f t="shared" si="26"/>
        <v>1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1.25" customHeight="1" x14ac:dyDescent="0.4">
      <c r="A69" s="17"/>
      <c r="B69" s="17" t="s">
        <v>309</v>
      </c>
      <c r="C69" s="17">
        <f>SUM('By Lot - West Campus'!E14:E19,'By Lot - West Campus'!E31:E36,'By Lot - West Campus'!E50:E55,'By Lot - West Campus'!E85:E90,'By Lot - West Campus'!E101:E106,'By Lot - West Campus'!E118:E123,'By Lot - West Campus'!E135:E140,'By Lot - West Campus'!E169:E174,'By Lot - West Campus'!E220:E225)</f>
        <v>11</v>
      </c>
      <c r="D69" s="54">
        <f>SUM('By Lot - West Campus'!F14:F19,'By Lot - West Campus'!F31:F36,'By Lot - West Campus'!F50:F55,'By Lot - West Campus'!F85:F90,'By Lot - West Campus'!F101:F106,'By Lot - West Campus'!F118:F123,'By Lot - West Campus'!F135:F140,'By Lot - West Campus'!F169:F174,'By Lot - West Campus'!F220:F225)</f>
        <v>0</v>
      </c>
      <c r="E69" s="58">
        <f>SUM('By Lot - West Campus'!G14:G19,'By Lot - West Campus'!G31:G36,'By Lot - West Campus'!G50:G55,'By Lot - West Campus'!G85:G90,'By Lot - West Campus'!G101:G106,'By Lot - West Campus'!G118:G123,'By Lot - West Campus'!G135:G140,'By Lot - West Campus'!G169:G174,'By Lot - West Campus'!G220:G225)</f>
        <v>0</v>
      </c>
      <c r="F69" s="58">
        <f>SUM('By Lot - West Campus'!H14:H19,'By Lot - West Campus'!H31:H36,'By Lot - West Campus'!H50:H55,'By Lot - West Campus'!H85:H90,'By Lot - West Campus'!H101:H106,'By Lot - West Campus'!H118:H123,'By Lot - West Campus'!H135:H140,'By Lot - West Campus'!H169:H174,'By Lot - West Campus'!H220:H225)</f>
        <v>1</v>
      </c>
      <c r="G69" s="58">
        <f>SUM('By Lot - West Campus'!I14:I19,'By Lot - West Campus'!I31:I36,'By Lot - West Campus'!I50:I55,'By Lot - West Campus'!I85:I90,'By Lot - West Campus'!I101:I106,'By Lot - West Campus'!I118:I123,'By Lot - West Campus'!I135:I140,'By Lot - West Campus'!I169:I174,'By Lot - West Campus'!I220:I225)</f>
        <v>2</v>
      </c>
      <c r="H69" s="58">
        <f>SUM('By Lot - West Campus'!J14:J19,'By Lot - West Campus'!J31:J36,'By Lot - West Campus'!J50:J55,'By Lot - West Campus'!J85:J90,'By Lot - West Campus'!J101:J106,'By Lot - West Campus'!J118:J123,'By Lot - West Campus'!J135:J140,'By Lot - West Campus'!J169:J174,'By Lot - West Campus'!J220:J225)</f>
        <v>4</v>
      </c>
      <c r="I69" s="58">
        <f>SUM('By Lot - West Campus'!K14:K19,'By Lot - West Campus'!K31:K36,'By Lot - West Campus'!K50:K55,'By Lot - West Campus'!K85:K90,'By Lot - West Campus'!K101:K106,'By Lot - West Campus'!K118:K123,'By Lot - West Campus'!K135:K140,'By Lot - West Campus'!K169:K174,'By Lot - West Campus'!K220:K225)</f>
        <v>3</v>
      </c>
      <c r="J69" s="58">
        <f>SUM('By Lot - West Campus'!L14:L19,'By Lot - West Campus'!L31:L36,'By Lot - West Campus'!L50:L55,'By Lot - West Campus'!L85:L90,'By Lot - West Campus'!L101:L106,'By Lot - West Campus'!L118:L123,'By Lot - West Campus'!L135:L140,'By Lot - West Campus'!L169:L174,'By Lot - West Campus'!L220:L225)</f>
        <v>4</v>
      </c>
      <c r="K69" s="58">
        <f>SUM('By Lot - West Campus'!M14:M19,'By Lot - West Campus'!M31:M36,'By Lot - West Campus'!M50:M55,'By Lot - West Campus'!M85:M90,'By Lot - West Campus'!M101:M106,'By Lot - West Campus'!M118:M123,'By Lot - West Campus'!M135:M140,'By Lot - West Campus'!M169:M174,'By Lot - West Campus'!M220:M225)</f>
        <v>3</v>
      </c>
      <c r="L69" s="58">
        <f>SUM('By Lot - West Campus'!N14:N19,'By Lot - West Campus'!N31:N36,'By Lot - West Campus'!N50:N55,'By Lot - West Campus'!N85:N90,'By Lot - West Campus'!N101:N106,'By Lot - West Campus'!N118:N123,'By Lot - West Campus'!N135:N140,'By Lot - West Campus'!N169:N174,'By Lot - West Campus'!N220:N225)</f>
        <v>0</v>
      </c>
      <c r="M69" s="60">
        <f>SUM('By Lot - West Campus'!O14:O19,'By Lot - West Campus'!O31:O36,'By Lot - West Campus'!O50:O55,'By Lot - West Campus'!O85:O90,'By Lot - West Campus'!O101:O106,'By Lot - West Campus'!O118:O123,'By Lot - West Campus'!O135:O140,'By Lot - West Campus'!O169:O174,'By Lot - West Campus'!O220:O225)</f>
        <v>0</v>
      </c>
      <c r="N69" s="54">
        <f t="shared" si="24"/>
        <v>0</v>
      </c>
      <c r="O69" s="58">
        <f t="shared" si="25"/>
        <v>11</v>
      </c>
      <c r="P69" s="59">
        <f t="shared" si="26"/>
        <v>1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1.25" customHeight="1" x14ac:dyDescent="0.4">
      <c r="A70" s="17"/>
      <c r="B70" s="17" t="s">
        <v>310</v>
      </c>
      <c r="C70" s="17">
        <f>SUM('By Lot - West Campus'!E20,'By Lot - West Campus'!E37,'By Lot - West Campus'!E56,'By Lot - West Campus'!E84,'By Lot - West Campus'!E107,'By Lot - West Campus'!E124,'By Lot - West Campus'!E141,'By Lot - West Campus'!E175,'By Lot - West Campus'!E226)</f>
        <v>13</v>
      </c>
      <c r="D70" s="54">
        <f>SUM('By Lot - West Campus'!F20,'By Lot - West Campus'!F37,'By Lot - West Campus'!F56,'By Lot - West Campus'!F84,'By Lot - West Campus'!F107,'By Lot - West Campus'!F124,'By Lot - West Campus'!F141,'By Lot - West Campus'!F175,'By Lot - West Campus'!F226)</f>
        <v>1</v>
      </c>
      <c r="E70" s="58">
        <f>SUM('By Lot - West Campus'!G20,'By Lot - West Campus'!G37,'By Lot - West Campus'!G56,'By Lot - West Campus'!G84,'By Lot - West Campus'!G107,'By Lot - West Campus'!G124,'By Lot - West Campus'!G141,'By Lot - West Campus'!G175,'By Lot - West Campus'!G226)</f>
        <v>2</v>
      </c>
      <c r="F70" s="58">
        <f>SUM('By Lot - West Campus'!H20,'By Lot - West Campus'!H37,'By Lot - West Campus'!H56,'By Lot - West Campus'!H84,'By Lot - West Campus'!H107,'By Lot - West Campus'!H124,'By Lot - West Campus'!H141,'By Lot - West Campus'!H175,'By Lot - West Campus'!H226)</f>
        <v>0</v>
      </c>
      <c r="G70" s="58">
        <f>SUM('By Lot - West Campus'!I20,'By Lot - West Campus'!I37,'By Lot - West Campus'!I56,'By Lot - West Campus'!I84,'By Lot - West Campus'!I107,'By Lot - West Campus'!I124,'By Lot - West Campus'!I141,'By Lot - West Campus'!I175,'By Lot - West Campus'!I226)</f>
        <v>0</v>
      </c>
      <c r="H70" s="58">
        <f>SUM('By Lot - West Campus'!J20,'By Lot - West Campus'!J37,'By Lot - West Campus'!J56,'By Lot - West Campus'!J84,'By Lot - West Campus'!J107,'By Lot - West Campus'!J124,'By Lot - West Campus'!J141,'By Lot - West Campus'!J175,'By Lot - West Campus'!J226)</f>
        <v>0</v>
      </c>
      <c r="I70" s="58">
        <f>SUM('By Lot - West Campus'!K20,'By Lot - West Campus'!K37,'By Lot - West Campus'!K56,'By Lot - West Campus'!K84,'By Lot - West Campus'!K107,'By Lot - West Campus'!K124,'By Lot - West Campus'!K141,'By Lot - West Campus'!K175,'By Lot - West Campus'!K226)</f>
        <v>0</v>
      </c>
      <c r="J70" s="58">
        <f>SUM('By Lot - West Campus'!L20,'By Lot - West Campus'!L37,'By Lot - West Campus'!L56,'By Lot - West Campus'!L84,'By Lot - West Campus'!L107,'By Lot - West Campus'!L124,'By Lot - West Campus'!L141,'By Lot - West Campus'!L175,'By Lot - West Campus'!L226)</f>
        <v>2</v>
      </c>
      <c r="K70" s="58">
        <f>SUM('By Lot - West Campus'!M20,'By Lot - West Campus'!M37,'By Lot - West Campus'!M56,'By Lot - West Campus'!M84,'By Lot - West Campus'!M107,'By Lot - West Campus'!M124,'By Lot - West Campus'!M141,'By Lot - West Campus'!M175,'By Lot - West Campus'!M226)</f>
        <v>4</v>
      </c>
      <c r="L70" s="58">
        <f>SUM('By Lot - West Campus'!N20,'By Lot - West Campus'!N37,'By Lot - West Campus'!N56,'By Lot - West Campus'!N84,'By Lot - West Campus'!N107,'By Lot - West Campus'!N124,'By Lot - West Campus'!N141,'By Lot - West Campus'!N175,'By Lot - West Campus'!N226)</f>
        <v>7</v>
      </c>
      <c r="M70" s="60">
        <f>SUM('By Lot - West Campus'!O20,'By Lot - West Campus'!O37,'By Lot - West Campus'!O56,'By Lot - West Campus'!O84,'By Lot - West Campus'!O107,'By Lot - West Campus'!O124,'By Lot - West Campus'!O141,'By Lot - West Campus'!O175,'By Lot - West Campus'!O226)</f>
        <v>8</v>
      </c>
      <c r="N70" s="54">
        <f t="shared" si="24"/>
        <v>0</v>
      </c>
      <c r="O70" s="58">
        <f t="shared" si="25"/>
        <v>13</v>
      </c>
      <c r="P70" s="59">
        <f t="shared" si="26"/>
        <v>1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1.25" customHeight="1" x14ac:dyDescent="0.4">
      <c r="A71" s="17"/>
      <c r="B71" s="17" t="s">
        <v>311</v>
      </c>
      <c r="C71" s="17">
        <f>SUM('By Lot - West Campus'!E21,'By Lot - West Campus'!E38,'By Lot - West Campus'!E57,'By Lot - West Campus'!E91,'By Lot - West Campus'!E108,'By Lot - West Campus'!E125,'By Lot - West Campus'!E142,'By Lot - West Campus'!E159,'By Lot - West Campus'!E176,'By Lot - West Campus'!E227)</f>
        <v>2</v>
      </c>
      <c r="D71" s="54">
        <f>SUM('By Lot - West Campus'!F21,'By Lot - West Campus'!F38,'By Lot - West Campus'!F57,'By Lot - West Campus'!F91,'By Lot - West Campus'!F108,'By Lot - West Campus'!F125,'By Lot - West Campus'!F142,'By Lot - West Campus'!F176,'By Lot - West Campus'!F227)</f>
        <v>0</v>
      </c>
      <c r="E71" s="58">
        <f>SUM('By Lot - West Campus'!G21,'By Lot - West Campus'!G38,'By Lot - West Campus'!G57,'By Lot - West Campus'!G91,'By Lot - West Campus'!G108,'By Lot - West Campus'!G125,'By Lot - West Campus'!G142,'By Lot - West Campus'!G176,'By Lot - West Campus'!G227)</f>
        <v>1</v>
      </c>
      <c r="F71" s="58">
        <f>SUM('By Lot - West Campus'!H21,'By Lot - West Campus'!H38,'By Lot - West Campus'!H57,'By Lot - West Campus'!H91,'By Lot - West Campus'!H108,'By Lot - West Campus'!H125,'By Lot - West Campus'!H142,'By Lot - West Campus'!H176,'By Lot - West Campus'!H227)</f>
        <v>0</v>
      </c>
      <c r="G71" s="58">
        <f>SUM('By Lot - West Campus'!I21,'By Lot - West Campus'!I38,'By Lot - West Campus'!I57,'By Lot - West Campus'!I91,'By Lot - West Campus'!I108,'By Lot - West Campus'!I125,'By Lot - West Campus'!I142,'By Lot - West Campus'!I176,'By Lot - West Campus'!I227)</f>
        <v>0</v>
      </c>
      <c r="H71" s="58">
        <f>SUM('By Lot - West Campus'!J21,'By Lot - West Campus'!J38,'By Lot - West Campus'!J57,'By Lot - West Campus'!J91,'By Lot - West Campus'!J108,'By Lot - West Campus'!J125,'By Lot - West Campus'!J142,'By Lot - West Campus'!J176,'By Lot - West Campus'!J227)</f>
        <v>1</v>
      </c>
      <c r="I71" s="58">
        <f>SUM('By Lot - West Campus'!K21,'By Lot - West Campus'!K38,'By Lot - West Campus'!K57,'By Lot - West Campus'!K91,'By Lot - West Campus'!K108,'By Lot - West Campus'!K125,'By Lot - West Campus'!K142,'By Lot - West Campus'!K176,'By Lot - West Campus'!K227)</f>
        <v>0</v>
      </c>
      <c r="J71" s="58">
        <f>SUM('By Lot - West Campus'!L21,'By Lot - West Campus'!L38,'By Lot - West Campus'!L57,'By Lot - West Campus'!L91,'By Lot - West Campus'!L108,'By Lot - West Campus'!L125,'By Lot - West Campus'!L142,'By Lot - West Campus'!L176,'By Lot - West Campus'!L227)</f>
        <v>0</v>
      </c>
      <c r="K71" s="58">
        <f>SUM('By Lot - West Campus'!M21,'By Lot - West Campus'!M38,'By Lot - West Campus'!M57,'By Lot - West Campus'!M91,'By Lot - West Campus'!M108,'By Lot - West Campus'!M125,'By Lot - West Campus'!M142,'By Lot - West Campus'!M176,'By Lot - West Campus'!M227)</f>
        <v>0</v>
      </c>
      <c r="L71" s="58">
        <f>SUM('By Lot - West Campus'!N21,'By Lot - West Campus'!N38,'By Lot - West Campus'!N57,'By Lot - West Campus'!N91,'By Lot - West Campus'!N108,'By Lot - West Campus'!N125,'By Lot - West Campus'!N142,'By Lot - West Campus'!N176,'By Lot - West Campus'!N227)</f>
        <v>0</v>
      </c>
      <c r="M71" s="31">
        <f>SUM('By Lot - West Campus'!O21,'By Lot - West Campus'!O38,'By Lot - West Campus'!O57,'By Lot - West Campus'!O91,'By Lot - West Campus'!O108,'By Lot - West Campus'!O125,'By Lot - West Campus'!O142,'By Lot - West Campus'!O176,'By Lot - West Campus'!O227)</f>
        <v>0</v>
      </c>
      <c r="N71" s="54">
        <f t="shared" si="24"/>
        <v>0</v>
      </c>
      <c r="O71" s="58">
        <f t="shared" si="25"/>
        <v>2</v>
      </c>
      <c r="P71" s="59">
        <f t="shared" si="26"/>
        <v>1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1.25" customHeight="1" x14ac:dyDescent="0.4">
      <c r="A72" s="17"/>
      <c r="B72" s="17" t="s">
        <v>312</v>
      </c>
      <c r="C72" s="17">
        <f>SUM('By Lot - West Campus'!E22,'By Lot - West Campus'!E39,'By Lot - West Campus'!E58,'By Lot - West Campus'!E92,'By Lot - West Campus'!E109,'By Lot - West Campus'!E126,'By Lot - West Campus'!E143,'By Lot - West Campus'!E177,'By Lot - West Campus'!E228)</f>
        <v>11</v>
      </c>
      <c r="D72" s="54">
        <f>SUM('By Lot - West Campus'!F22,'By Lot - West Campus'!F39,'By Lot - West Campus'!F58,'By Lot - West Campus'!F92,'By Lot - West Campus'!F109,'By Lot - West Campus'!F126,'By Lot - West Campus'!F143,'By Lot - West Campus'!F177,'By Lot - West Campus'!F228)</f>
        <v>5</v>
      </c>
      <c r="E72" s="58">
        <f>SUM('By Lot - West Campus'!G22,'By Lot - West Campus'!G39,'By Lot - West Campus'!G58,'By Lot - West Campus'!G92,'By Lot - West Campus'!G109,'By Lot - West Campus'!G126,'By Lot - West Campus'!G143,'By Lot - West Campus'!G177,'By Lot - West Campus'!G228)</f>
        <v>4</v>
      </c>
      <c r="F72" s="58">
        <f>SUM('By Lot - West Campus'!H22,'By Lot - West Campus'!H39,'By Lot - West Campus'!H58,'By Lot - West Campus'!H92,'By Lot - West Campus'!H109,'By Lot - West Campus'!H126,'By Lot - West Campus'!H143,'By Lot - West Campus'!H177,'By Lot - West Campus'!H228)</f>
        <v>4</v>
      </c>
      <c r="G72" s="58">
        <f>SUM('By Lot - West Campus'!I22,'By Lot - West Campus'!I39,'By Lot - West Campus'!I58,'By Lot - West Campus'!I92,'By Lot - West Campus'!I109,'By Lot - West Campus'!I126,'By Lot - West Campus'!I143,'By Lot - West Campus'!I177,'By Lot - West Campus'!I228)</f>
        <v>3</v>
      </c>
      <c r="H72" s="58">
        <f>SUM('By Lot - West Campus'!J22,'By Lot - West Campus'!J39,'By Lot - West Campus'!J58,'By Lot - West Campus'!J92,'By Lot - West Campus'!J109,'By Lot - West Campus'!J126,'By Lot - West Campus'!J143,'By Lot - West Campus'!J177,'By Lot - West Campus'!J228)</f>
        <v>3</v>
      </c>
      <c r="I72" s="58">
        <f>SUM('By Lot - West Campus'!K22,'By Lot - West Campus'!K39,'By Lot - West Campus'!K58,'By Lot - West Campus'!K92,'By Lot - West Campus'!K109,'By Lot - West Campus'!K126,'By Lot - West Campus'!K143,'By Lot - West Campus'!K177,'By Lot - West Campus'!K228)</f>
        <v>3</v>
      </c>
      <c r="J72" s="58">
        <f>SUM('By Lot - West Campus'!L22,'By Lot - West Campus'!L39,'By Lot - West Campus'!L58,'By Lot - West Campus'!L92,'By Lot - West Campus'!L109,'By Lot - West Campus'!L126,'By Lot - West Campus'!L143,'By Lot - West Campus'!L177,'By Lot - West Campus'!L228)</f>
        <v>4</v>
      </c>
      <c r="K72" s="58">
        <f>SUM('By Lot - West Campus'!M22,'By Lot - West Campus'!M39,'By Lot - West Campus'!M58,'By Lot - West Campus'!M92,'By Lot - West Campus'!M109,'By Lot - West Campus'!M126,'By Lot - West Campus'!M143,'By Lot - West Campus'!M177,'By Lot - West Campus'!M228)</f>
        <v>2</v>
      </c>
      <c r="L72" s="58">
        <f>SUM('By Lot - West Campus'!N22,'By Lot - West Campus'!N39,'By Lot - West Campus'!N58,'By Lot - West Campus'!N92,'By Lot - West Campus'!N109,'By Lot - West Campus'!N126,'By Lot - West Campus'!N143,'By Lot - West Campus'!N177,'By Lot - West Campus'!N228)</f>
        <v>3</v>
      </c>
      <c r="M72" s="31">
        <f>SUM('By Lot - West Campus'!O22,'By Lot - West Campus'!O39,'By Lot - West Campus'!O58,'By Lot - West Campus'!O92,'By Lot - West Campus'!O109,'By Lot - West Campus'!O126,'By Lot - West Campus'!O143,'By Lot - West Campus'!O177,'By Lot - West Campus'!O228)</f>
        <v>3</v>
      </c>
      <c r="N72" s="54">
        <f t="shared" si="24"/>
        <v>2</v>
      </c>
      <c r="O72" s="58">
        <f t="shared" si="25"/>
        <v>9</v>
      </c>
      <c r="P72" s="59">
        <f t="shared" si="26"/>
        <v>0.81818181818181823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1.25" customHeight="1" x14ac:dyDescent="0.4">
      <c r="A73" s="17"/>
      <c r="B73" s="17" t="s">
        <v>313</v>
      </c>
      <c r="C73" s="17">
        <f>'By Lot - West Campus'!E110</f>
        <v>0</v>
      </c>
      <c r="D73" s="54">
        <f>'By Lot - West Campus'!F110</f>
        <v>0</v>
      </c>
      <c r="E73" s="58">
        <f>'By Lot - West Campus'!G110</f>
        <v>0</v>
      </c>
      <c r="F73" s="58">
        <f>'By Lot - West Campus'!H110</f>
        <v>0</v>
      </c>
      <c r="G73" s="58">
        <f>'By Lot - West Campus'!I110</f>
        <v>0</v>
      </c>
      <c r="H73" s="58">
        <f>'By Lot - West Campus'!J110</f>
        <v>0</v>
      </c>
      <c r="I73" s="58">
        <f>'By Lot - West Campus'!K110</f>
        <v>0</v>
      </c>
      <c r="J73" s="58">
        <f>'By Lot - West Campus'!L110</f>
        <v>0</v>
      </c>
      <c r="K73" s="58">
        <f>'By Lot - West Campus'!M110</f>
        <v>0</v>
      </c>
      <c r="L73" s="58">
        <f>'By Lot - West Campus'!N110</f>
        <v>0</v>
      </c>
      <c r="M73" s="60">
        <f>'By Lot - West Campus'!O110</f>
        <v>0</v>
      </c>
      <c r="N73" s="32"/>
      <c r="O73" s="6"/>
      <c r="P73" s="59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1.25" customHeight="1" x14ac:dyDescent="0.4">
      <c r="A74" s="34"/>
      <c r="B74" s="65" t="s">
        <v>314</v>
      </c>
      <c r="C74" s="155">
        <f t="shared" ref="C74:M74" si="27">SUM(C62:C73)</f>
        <v>44</v>
      </c>
      <c r="D74" s="101">
        <f t="shared" si="27"/>
        <v>10</v>
      </c>
      <c r="E74" s="102">
        <f t="shared" si="27"/>
        <v>10</v>
      </c>
      <c r="F74" s="102">
        <f t="shared" si="27"/>
        <v>9</v>
      </c>
      <c r="G74" s="102">
        <f t="shared" si="27"/>
        <v>5</v>
      </c>
      <c r="H74" s="102">
        <f t="shared" si="27"/>
        <v>8</v>
      </c>
      <c r="I74" s="102">
        <f t="shared" si="27"/>
        <v>6</v>
      </c>
      <c r="J74" s="102">
        <f t="shared" si="27"/>
        <v>12</v>
      </c>
      <c r="K74" s="102">
        <f t="shared" si="27"/>
        <v>13</v>
      </c>
      <c r="L74" s="102">
        <f t="shared" si="27"/>
        <v>15</v>
      </c>
      <c r="M74" s="129">
        <f t="shared" si="27"/>
        <v>18</v>
      </c>
      <c r="N74" s="104">
        <f t="shared" ref="N74:N81" si="28">MIN(D74:M74)</f>
        <v>5</v>
      </c>
      <c r="O74" s="128">
        <f t="shared" ref="O74:O81" si="29">C74-N74</f>
        <v>39</v>
      </c>
      <c r="P74" s="72">
        <f t="shared" ref="P74:P81" si="30">O74/C74</f>
        <v>0.88636363636363635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1.25" customHeight="1" x14ac:dyDescent="0.4">
      <c r="A75" s="15" t="s">
        <v>19</v>
      </c>
      <c r="B75" s="32" t="s">
        <v>300</v>
      </c>
      <c r="C75" s="121">
        <f>SUM('By Lot - West Campus'!E180, 'By Lot - West Campus'!E197,
'By Lot - West Campus'!E231,'By Lot - West Campus'!E248,
'By Lot - West Campus'!E265,'By Lot - West Campus'!E282,
'By Lot - West Campus'!E299,
'By Lot - West Campus'!E316,
'By Lot - West Campus'!E1252,
 'By Structure'!C7)</f>
        <v>295</v>
      </c>
      <c r="D75" s="55">
        <f>SUM('By Lot - West Campus'!F180, 'By Lot - West Campus'!F197,
'By Lot - West Campus'!F231,'By Lot - West Campus'!F248,
'By Lot - West Campus'!F265,'By Lot - West Campus'!F282,
'By Lot - West Campus'!F299,
'By Lot - West Campus'!F316,
'By Lot - West Campus'!F1252,
 'By Structure'!D7)</f>
        <v>141</v>
      </c>
      <c r="E75" s="56">
        <f>SUM('By Lot - West Campus'!G180, 'By Lot - West Campus'!G197,
'By Lot - West Campus'!G231,'By Lot - West Campus'!G248,
'By Lot - West Campus'!G265,'By Lot - West Campus'!G282,
'By Lot - West Campus'!G299,
'By Lot - West Campus'!G316,
'By Lot - West Campus'!G1252,
 'By Structure'!E7)</f>
        <v>84</v>
      </c>
      <c r="F75" s="56">
        <f>SUM('By Lot - West Campus'!H180, 'By Lot - West Campus'!H197,
'By Lot - West Campus'!H231,'By Lot - West Campus'!H248,
'By Lot - West Campus'!H265,'By Lot - West Campus'!H282,
'By Lot - West Campus'!H299,
'By Lot - West Campus'!H316,
'By Lot - West Campus'!H1252,
 'By Structure'!F7)</f>
        <v>0</v>
      </c>
      <c r="G75" s="56">
        <f>SUM('By Lot - West Campus'!I180, 'By Lot - West Campus'!I197,
'By Lot - West Campus'!I231,'By Lot - West Campus'!I248,
'By Lot - West Campus'!I265,'By Lot - West Campus'!I282,
'By Lot - West Campus'!I299,
'By Lot - West Campus'!I316,
'By Lot - West Campus'!I1252,
 'By Structure'!G7)</f>
        <v>1</v>
      </c>
      <c r="H75" s="56">
        <f>SUM('By Lot - West Campus'!J180, 'By Lot - West Campus'!J197,
'By Lot - West Campus'!J231,'By Lot - West Campus'!J248,
'By Lot - West Campus'!J265,'By Lot - West Campus'!J282,
'By Lot - West Campus'!J299,
'By Lot - West Campus'!J316,
'By Lot - West Campus'!J1252,
 'By Structure'!H7)</f>
        <v>1</v>
      </c>
      <c r="I75" s="56">
        <f>SUM('By Lot - West Campus'!K180, 'By Lot - West Campus'!K197,
'By Lot - West Campus'!K231,'By Lot - West Campus'!K248,
'By Lot - West Campus'!K265,'By Lot - West Campus'!K282,
'By Lot - West Campus'!K299,
'By Lot - West Campus'!K316,
'By Lot - West Campus'!K1252,
 'By Structure'!I7)</f>
        <v>2</v>
      </c>
      <c r="J75" s="56">
        <f>SUM('By Lot - West Campus'!L180, 'By Lot - West Campus'!L197,
'By Lot - West Campus'!L231,'By Lot - West Campus'!L248,
'By Lot - West Campus'!L265,'By Lot - West Campus'!L282,
'By Lot - West Campus'!L299,
'By Lot - West Campus'!L316,
'By Lot - West Campus'!L1252,
 'By Structure'!J7)</f>
        <v>0</v>
      </c>
      <c r="K75" s="56">
        <f>SUM('By Lot - West Campus'!M180, 'By Lot - West Campus'!M197,
'By Lot - West Campus'!M231,'By Lot - West Campus'!M248,
'By Lot - West Campus'!M265,'By Lot - West Campus'!M282,
'By Lot - West Campus'!M299,
'By Lot - West Campus'!M316,
'By Lot - West Campus'!M1252,
 'By Structure'!K7)</f>
        <v>9</v>
      </c>
      <c r="L75" s="56">
        <f>SUM('By Lot - West Campus'!N180, 'By Lot - West Campus'!N197,
'By Lot - West Campus'!N231,'By Lot - West Campus'!N248,
'By Lot - West Campus'!N265,'By Lot - West Campus'!N282,
'By Lot - West Campus'!N299,
'By Lot - West Campus'!N316,
'By Lot - West Campus'!N1252,
 'By Structure'!L7)</f>
        <v>43</v>
      </c>
      <c r="M75" s="31">
        <f>SUM('By Lot - West Campus'!O180, 'By Lot - West Campus'!O197,
'By Lot - West Campus'!O231,'By Lot - West Campus'!O248,
'By Lot - West Campus'!O265,'By Lot - West Campus'!O282,
'By Lot - West Campus'!O299,
'By Lot - West Campus'!O316,
'By Lot - West Campus'!O1252,
 'By Structure'!M7)</f>
        <v>67</v>
      </c>
      <c r="N75" s="58">
        <f t="shared" si="28"/>
        <v>0</v>
      </c>
      <c r="O75" s="58">
        <f t="shared" si="29"/>
        <v>295</v>
      </c>
      <c r="P75" s="59">
        <f t="shared" si="30"/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1.25" customHeight="1" x14ac:dyDescent="0.4">
      <c r="A76" s="17" t="s">
        <v>33</v>
      </c>
      <c r="B76" s="17" t="s">
        <v>301</v>
      </c>
      <c r="C76" s="54">
        <f>SUM('By Lot - West Campus'!E181, 'By Lot - West Campus'!E198,
'By Lot - West Campus'!E232,'By Lot - West Campus'!E249,
'By Lot - West Campus'!E266,'By Lot - West Campus'!E283,
'By Lot - West Campus'!E300,
'By Lot - West Campus'!E317,
'By Lot - West Campus'!E1253,
 'By Structure'!C8)</f>
        <v>419</v>
      </c>
      <c r="D76" s="54">
        <f>SUM('By Lot - West Campus'!F181, 'By Lot - West Campus'!F198,
'By Lot - West Campus'!F232,'By Lot - West Campus'!F249,
'By Lot - West Campus'!F266,'By Lot - West Campus'!F283,
'By Lot - West Campus'!F300,
'By Lot - West Campus'!F317,
'By Lot - West Campus'!F1253,
 'By Structure'!D8)</f>
        <v>65</v>
      </c>
      <c r="E76" s="58">
        <f>SUM('By Lot - West Campus'!G181, 'By Lot - West Campus'!G198,
'By Lot - West Campus'!G232,'By Lot - West Campus'!G249,
'By Lot - West Campus'!G266,'By Lot - West Campus'!G283,
'By Lot - West Campus'!G300,
'By Lot - West Campus'!G317,
'By Lot - West Campus'!G1253,
 'By Structure'!E8)</f>
        <v>39</v>
      </c>
      <c r="F76" s="58">
        <f>SUM('By Lot - West Campus'!H181, 'By Lot - West Campus'!H198,
'By Lot - West Campus'!H232,'By Lot - West Campus'!H249,
'By Lot - West Campus'!H266,'By Lot - West Campus'!H283,
'By Lot - West Campus'!H300,
'By Lot - West Campus'!H317,
'By Lot - West Campus'!H1253,
 'By Structure'!F8)</f>
        <v>17</v>
      </c>
      <c r="G76" s="58">
        <f>SUM('By Lot - West Campus'!I181, 'By Lot - West Campus'!I198,
'By Lot - West Campus'!I232,'By Lot - West Campus'!I249,
'By Lot - West Campus'!I266,'By Lot - West Campus'!I283,
'By Lot - West Campus'!I300,
'By Lot - West Campus'!I317,
'By Lot - West Campus'!I1253,
 'By Structure'!G8)</f>
        <v>12</v>
      </c>
      <c r="H76" s="58">
        <f>SUM('By Lot - West Campus'!J181, 'By Lot - West Campus'!J198,
'By Lot - West Campus'!J232,'By Lot - West Campus'!J249,
'By Lot - West Campus'!J266,'By Lot - West Campus'!J283,
'By Lot - West Campus'!J300,
'By Lot - West Campus'!J317,
'By Lot - West Campus'!J1253,
 'By Structure'!H8)</f>
        <v>7</v>
      </c>
      <c r="I76" s="58">
        <f>SUM('By Lot - West Campus'!K181, 'By Lot - West Campus'!K198,
'By Lot - West Campus'!K232,'By Lot - West Campus'!K249,
'By Lot - West Campus'!K266,'By Lot - West Campus'!K283,
'By Lot - West Campus'!K300,
'By Lot - West Campus'!K317,
'By Lot - West Campus'!K1253,
 'By Structure'!I8)</f>
        <v>3</v>
      </c>
      <c r="J76" s="58">
        <f>SUM('By Lot - West Campus'!L181, 'By Lot - West Campus'!L198,
'By Lot - West Campus'!L232,'By Lot - West Campus'!L249,
'By Lot - West Campus'!L266,'By Lot - West Campus'!L283,
'By Lot - West Campus'!L300,
'By Lot - West Campus'!L317,
'By Lot - West Campus'!L1253,
 'By Structure'!J8)</f>
        <v>11</v>
      </c>
      <c r="K76" s="58">
        <f>SUM('By Lot - West Campus'!M181, 'By Lot - West Campus'!M198,
'By Lot - West Campus'!M232,'By Lot - West Campus'!M249,
'By Lot - West Campus'!M266,'By Lot - West Campus'!M283,
'By Lot - West Campus'!M300,
'By Lot - West Campus'!M317,
'By Lot - West Campus'!M1253,
 'By Structure'!K8)</f>
        <v>36</v>
      </c>
      <c r="L76" s="58">
        <f>SUM('By Lot - West Campus'!N181, 'By Lot - West Campus'!N198,
'By Lot - West Campus'!N232,'By Lot - West Campus'!N249,
'By Lot - West Campus'!N266,'By Lot - West Campus'!N283,
'By Lot - West Campus'!N300,
'By Lot - West Campus'!N317,
'By Lot - West Campus'!N1253,
 'By Structure'!L8)</f>
        <v>104</v>
      </c>
      <c r="M76" s="31">
        <f>SUM('By Lot - West Campus'!O181, 'By Lot - West Campus'!O198,
'By Lot - West Campus'!O232,'By Lot - West Campus'!O249,
'By Lot - West Campus'!O266,'By Lot - West Campus'!O283,
'By Lot - West Campus'!O300,
'By Lot - West Campus'!O317,
'By Lot - West Campus'!O1253,
 'By Structure'!M8)</f>
        <v>173</v>
      </c>
      <c r="N76" s="58">
        <f t="shared" si="28"/>
        <v>3</v>
      </c>
      <c r="O76" s="58">
        <f t="shared" si="29"/>
        <v>416</v>
      </c>
      <c r="P76" s="59">
        <f t="shared" si="30"/>
        <v>0.99284009546539376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1.25" customHeight="1" x14ac:dyDescent="0.4">
      <c r="A77" s="17"/>
      <c r="B77" s="17" t="s">
        <v>303</v>
      </c>
      <c r="C77" s="54">
        <f>SUM('By Lot - West Campus'!E182, 'By Lot - West Campus'!E199,
'By Lot - West Campus'!E233,'By Lot - West Campus'!E250,
'By Lot - West Campus'!E267,'By Lot - West Campus'!E284,
'By Lot - West Campus'!E301,
'By Lot - West Campus'!E318,
'By Lot - West Campus'!E1254,
 'By Structure'!C9)</f>
        <v>113</v>
      </c>
      <c r="D77" s="54">
        <f>SUM('By Lot - West Campus'!F182, 'By Lot - West Campus'!F199,
'By Lot - West Campus'!F233,'By Lot - West Campus'!F250,
'By Lot - West Campus'!F267,'By Lot - West Campus'!F284,
'By Lot - West Campus'!F301,
'By Lot - West Campus'!F318,
'By Lot - West Campus'!F1254,
 'By Structure'!D9)</f>
        <v>0</v>
      </c>
      <c r="E77" s="58">
        <f>SUM('By Lot - West Campus'!G182, 'By Lot - West Campus'!G199,
'By Lot - West Campus'!G233,'By Lot - West Campus'!G250,
'By Lot - West Campus'!G267,'By Lot - West Campus'!G284,
'By Lot - West Campus'!G301,
'By Lot - West Campus'!G318,
'By Lot - West Campus'!G1254,
 'By Structure'!E9)</f>
        <v>0</v>
      </c>
      <c r="F77" s="58">
        <f>SUM('By Lot - West Campus'!H182, 'By Lot - West Campus'!H199,
'By Lot - West Campus'!H233,'By Lot - West Campus'!H250,
'By Lot - West Campus'!H267,'By Lot - West Campus'!H284,
'By Lot - West Campus'!H301,
'By Lot - West Campus'!H318,
'By Lot - West Campus'!H1254,
 'By Structure'!F9)</f>
        <v>0</v>
      </c>
      <c r="G77" s="58">
        <f>SUM('By Lot - West Campus'!I182, 'By Lot - West Campus'!I199,
'By Lot - West Campus'!I233,'By Lot - West Campus'!I250,
'By Lot - West Campus'!I267,'By Lot - West Campus'!I284,
'By Lot - West Campus'!I301,
'By Lot - West Campus'!I318,
'By Lot - West Campus'!I1254,
 'By Structure'!G9)</f>
        <v>0</v>
      </c>
      <c r="H77" s="58">
        <f>SUM('By Lot - West Campus'!J182, 'By Lot - West Campus'!J199,
'By Lot - West Campus'!J233,'By Lot - West Campus'!J250,
'By Lot - West Campus'!J267,'By Lot - West Campus'!J284,
'By Lot - West Campus'!J301,
'By Lot - West Campus'!J318,
'By Lot - West Campus'!J1254,
 'By Structure'!H9)</f>
        <v>0</v>
      </c>
      <c r="I77" s="58">
        <f>SUM('By Lot - West Campus'!K182, 'By Lot - West Campus'!K199,
'By Lot - West Campus'!K233,'By Lot - West Campus'!K250,
'By Lot - West Campus'!K267,'By Lot - West Campus'!K284,
'By Lot - West Campus'!K301,
'By Lot - West Campus'!K318,
'By Lot - West Campus'!K1254,
 'By Structure'!I9)</f>
        <v>0</v>
      </c>
      <c r="J77" s="58">
        <f>SUM('By Lot - West Campus'!L182, 'By Lot - West Campus'!L199,
'By Lot - West Campus'!L233,'By Lot - West Campus'!L250,
'By Lot - West Campus'!L267,'By Lot - West Campus'!L284,
'By Lot - West Campus'!L301,
'By Lot - West Campus'!L318,
'By Lot - West Campus'!L1254,
 'By Structure'!J9)</f>
        <v>0</v>
      </c>
      <c r="K77" s="58">
        <f>SUM('By Lot - West Campus'!M182, 'By Lot - West Campus'!M199,
'By Lot - West Campus'!M233,'By Lot - West Campus'!M250,
'By Lot - West Campus'!M267,'By Lot - West Campus'!M284,
'By Lot - West Campus'!M301,
'By Lot - West Campus'!M318,
'By Lot - West Campus'!M1254,
 'By Structure'!K9)</f>
        <v>2</v>
      </c>
      <c r="L77" s="58">
        <f>SUM('By Lot - West Campus'!N182, 'By Lot - West Campus'!N199,
'By Lot - West Campus'!N233,'By Lot - West Campus'!N250,
'By Lot - West Campus'!N267,'By Lot - West Campus'!N284,
'By Lot - West Campus'!N301,
'By Lot - West Campus'!N318,
'By Lot - West Campus'!N1254,
 'By Structure'!L9)</f>
        <v>0</v>
      </c>
      <c r="M77" s="31">
        <f>SUM('By Lot - West Campus'!O182, 'By Lot - West Campus'!O199,
'By Lot - West Campus'!O233,'By Lot - West Campus'!O250,
'By Lot - West Campus'!O267,'By Lot - West Campus'!O284,
'By Lot - West Campus'!O301,
'By Lot - West Campus'!O318,
'By Lot - West Campus'!O1254,
 'By Structure'!M9)</f>
        <v>0</v>
      </c>
      <c r="N77" s="58">
        <f t="shared" si="28"/>
        <v>0</v>
      </c>
      <c r="O77" s="58">
        <f t="shared" si="29"/>
        <v>113</v>
      </c>
      <c r="P77" s="59">
        <f t="shared" si="30"/>
        <v>1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1.25" customHeight="1" x14ac:dyDescent="0.4">
      <c r="A78" s="17"/>
      <c r="B78" s="17" t="s">
        <v>307</v>
      </c>
      <c r="C78" s="54">
        <f>SUM('By Lot - West Campus'!E183, 'By Lot - West Campus'!E200,
'By Lot - West Campus'!E234,'By Lot - West Campus'!E251,
'By Lot - West Campus'!E268,'By Lot - West Campus'!E285,
'By Lot - West Campus'!E302,
'By Lot - West Campus'!E319,
'By Lot - West Campus'!E1255,
 'By Structure'!C10)</f>
        <v>174</v>
      </c>
      <c r="D78" s="54">
        <f>SUM('By Lot - West Campus'!F183, 'By Lot - West Campus'!F200,
'By Lot - West Campus'!F234,'By Lot - West Campus'!F251,
'By Lot - West Campus'!F268,'By Lot - West Campus'!F285,
'By Lot - West Campus'!F302,
'By Lot - West Campus'!F319,
'By Lot - West Campus'!F1255,
 'By Structure'!D10)</f>
        <v>40</v>
      </c>
      <c r="E78" s="58">
        <f>SUM('By Lot - West Campus'!G183, 'By Lot - West Campus'!G200,
'By Lot - West Campus'!G234,'By Lot - West Campus'!G251,
'By Lot - West Campus'!G268,'By Lot - West Campus'!G285,
'By Lot - West Campus'!G302,
'By Lot - West Campus'!G319,
'By Lot - West Campus'!G1255,
 'By Structure'!E10)</f>
        <v>7</v>
      </c>
      <c r="F78" s="58">
        <f>SUM('By Lot - West Campus'!H183, 'By Lot - West Campus'!H200,
'By Lot - West Campus'!H234,'By Lot - West Campus'!H251,
'By Lot - West Campus'!H268,'By Lot - West Campus'!H285,
'By Lot - West Campus'!H302,
'By Lot - West Campus'!H319,
'By Lot - West Campus'!H1255,
 'By Structure'!F10)</f>
        <v>1</v>
      </c>
      <c r="G78" s="58">
        <f>SUM('By Lot - West Campus'!I183, 'By Lot - West Campus'!I200,
'By Lot - West Campus'!I234,'By Lot - West Campus'!I251,
'By Lot - West Campus'!I268,'By Lot - West Campus'!I285,
'By Lot - West Campus'!I302,
'By Lot - West Campus'!I319,
'By Lot - West Campus'!I1255,
 'By Structure'!G10)</f>
        <v>1</v>
      </c>
      <c r="H78" s="58">
        <f>SUM('By Lot - West Campus'!J183, 'By Lot - West Campus'!J200,
'By Lot - West Campus'!J234,'By Lot - West Campus'!J251,
'By Lot - West Campus'!J268,'By Lot - West Campus'!J285,
'By Lot - West Campus'!J302,
'By Lot - West Campus'!J319,
'By Lot - West Campus'!J1255,
 'By Structure'!H10)</f>
        <v>0</v>
      </c>
      <c r="I78" s="58">
        <f>SUM('By Lot - West Campus'!K183, 'By Lot - West Campus'!K200,
'By Lot - West Campus'!K234,'By Lot - West Campus'!K251,
'By Lot - West Campus'!K268,'By Lot - West Campus'!K285,
'By Lot - West Campus'!K302,
'By Lot - West Campus'!K319,
'By Lot - West Campus'!K1255,
 'By Structure'!I10)</f>
        <v>3</v>
      </c>
      <c r="J78" s="58">
        <f>SUM('By Lot - West Campus'!L183, 'By Lot - West Campus'!L200,
'By Lot - West Campus'!L234,'By Lot - West Campus'!L251,
'By Lot - West Campus'!L268,'By Lot - West Campus'!L285,
'By Lot - West Campus'!L302,
'By Lot - West Campus'!L319,
'By Lot - West Campus'!L1255,
 'By Structure'!J10)</f>
        <v>2</v>
      </c>
      <c r="K78" s="58">
        <f>SUM('By Lot - West Campus'!M183, 'By Lot - West Campus'!M200,
'By Lot - West Campus'!M234,'By Lot - West Campus'!M251,
'By Lot - West Campus'!M268,'By Lot - West Campus'!M285,
'By Lot - West Campus'!M302,
'By Lot - West Campus'!M319,
'By Lot - West Campus'!M1255,
 'By Structure'!K10)</f>
        <v>2</v>
      </c>
      <c r="L78" s="58">
        <f>SUM('By Lot - West Campus'!N183, 'By Lot - West Campus'!N200,
'By Lot - West Campus'!N234,'By Lot - West Campus'!N251,
'By Lot - West Campus'!N268,'By Lot - West Campus'!N285,
'By Lot - West Campus'!N302,
'By Lot - West Campus'!N319,
'By Lot - West Campus'!N1255,
 'By Structure'!L10)</f>
        <v>4</v>
      </c>
      <c r="M78" s="31">
        <f>SUM('By Lot - West Campus'!O183, 'By Lot - West Campus'!O200,
'By Lot - West Campus'!O234,'By Lot - West Campus'!O251,
'By Lot - West Campus'!O268,'By Lot - West Campus'!O285,
'By Lot - West Campus'!O302,
'By Lot - West Campus'!O319,
'By Lot - West Campus'!O1255,
 'By Structure'!M10)</f>
        <v>11</v>
      </c>
      <c r="N78" s="58">
        <f t="shared" si="28"/>
        <v>0</v>
      </c>
      <c r="O78" s="58">
        <f t="shared" si="29"/>
        <v>174</v>
      </c>
      <c r="P78" s="59">
        <f t="shared" si="30"/>
        <v>1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1.25" customHeight="1" x14ac:dyDescent="0.4">
      <c r="A79" s="17"/>
      <c r="B79" s="17" t="s">
        <v>308</v>
      </c>
      <c r="C79" s="54">
        <f>SUM('By Lot - West Campus'!E185, 'By Lot - West Campus'!E202,
'By Lot - West Campus'!E236,'By Lot - West Campus'!E253,
'By Lot - West Campus'!E270,'By Lot - West Campus'!E287,
'By Lot - West Campus'!E304,
'By Lot - West Campus'!E321,
'By Lot - West Campus'!E1257,
 'By Structure'!C11)</f>
        <v>41</v>
      </c>
      <c r="D79" s="54">
        <f>SUM('By Lot - West Campus'!F185, 'By Lot - West Campus'!F202,
'By Lot - West Campus'!F236,'By Lot - West Campus'!F253,
'By Lot - West Campus'!F270,'By Lot - West Campus'!F287,
'By Lot - West Campus'!F304,
'By Lot - West Campus'!F321,
'By Lot - West Campus'!F1257,
 'By Structure'!D11)</f>
        <v>29</v>
      </c>
      <c r="E79" s="58">
        <f>SUM('By Lot - West Campus'!G185, 'By Lot - West Campus'!G202,
'By Lot - West Campus'!G236,'By Lot - West Campus'!G253,
'By Lot - West Campus'!G270,'By Lot - West Campus'!G287,
'By Lot - West Campus'!G304,
'By Lot - West Campus'!G321,
'By Lot - West Campus'!G1257,
 'By Structure'!E11)</f>
        <v>29</v>
      </c>
      <c r="F79" s="58">
        <f>SUM('By Lot - West Campus'!H185, 'By Lot - West Campus'!H202,
'By Lot - West Campus'!H236,'By Lot - West Campus'!H253,
'By Lot - West Campus'!H270,'By Lot - West Campus'!H287,
'By Lot - West Campus'!H304,
'By Lot - West Campus'!H321,
'By Lot - West Campus'!H1257,
 'By Structure'!F11)</f>
        <v>28</v>
      </c>
      <c r="G79" s="58">
        <f>SUM('By Lot - West Campus'!I185, 'By Lot - West Campus'!I202,
'By Lot - West Campus'!I236,'By Lot - West Campus'!I253,
'By Lot - West Campus'!I270,'By Lot - West Campus'!I287,
'By Lot - West Campus'!I304,
'By Lot - West Campus'!I321,
'By Lot - West Campus'!I1257,
 'By Structure'!G11)</f>
        <v>15</v>
      </c>
      <c r="H79" s="58">
        <f>SUM('By Lot - West Campus'!J185, 'By Lot - West Campus'!J202,
'By Lot - West Campus'!J236,'By Lot - West Campus'!J253,
'By Lot - West Campus'!J270,'By Lot - West Campus'!J287,
'By Lot - West Campus'!J304,
'By Lot - West Campus'!J321,
'By Lot - West Campus'!J1257,
 'By Structure'!H11)</f>
        <v>12</v>
      </c>
      <c r="I79" s="58">
        <f>SUM('By Lot - West Campus'!K185, 'By Lot - West Campus'!K202,
'By Lot - West Campus'!K236,'By Lot - West Campus'!K253,
'By Lot - West Campus'!K270,'By Lot - West Campus'!K287,
'By Lot - West Campus'!K304,
'By Lot - West Campus'!K321,
'By Lot - West Campus'!K1257,
 'By Structure'!I11)</f>
        <v>13</v>
      </c>
      <c r="J79" s="58">
        <f>SUM('By Lot - West Campus'!L185, 'By Lot - West Campus'!L202,
'By Lot - West Campus'!L236,'By Lot - West Campus'!L253,
'By Lot - West Campus'!L270,'By Lot - West Campus'!L287,
'By Lot - West Campus'!L304,
'By Lot - West Campus'!L321,
'By Lot - West Campus'!L1257,
 'By Structure'!J11)</f>
        <v>18</v>
      </c>
      <c r="K79" s="58">
        <f>SUM('By Lot - West Campus'!M185, 'By Lot - West Campus'!M202,
'By Lot - West Campus'!M236,'By Lot - West Campus'!M253,
'By Lot - West Campus'!M270,'By Lot - West Campus'!M287,
'By Lot - West Campus'!M304,
'By Lot - West Campus'!M321,
'By Lot - West Campus'!M1257,
 'By Structure'!K11)</f>
        <v>21</v>
      </c>
      <c r="L79" s="58">
        <f>SUM('By Lot - West Campus'!N185, 'By Lot - West Campus'!N202,
'By Lot - West Campus'!N236,'By Lot - West Campus'!N253,
'By Lot - West Campus'!N270,'By Lot - West Campus'!N287,
'By Lot - West Campus'!N304,
'By Lot - West Campus'!N321,
'By Lot - West Campus'!N1257,
 'By Structure'!L11)</f>
        <v>22</v>
      </c>
      <c r="M79" s="31">
        <f>SUM('By Lot - West Campus'!O185, 'By Lot - West Campus'!O202,
'By Lot - West Campus'!O236,'By Lot - West Campus'!O253,
'By Lot - West Campus'!O270,'By Lot - West Campus'!O287,
'By Lot - West Campus'!O304,
'By Lot - West Campus'!O321,
'By Lot - West Campus'!O1257,
 'By Structure'!M11)</f>
        <v>21</v>
      </c>
      <c r="N79" s="58">
        <f t="shared" si="28"/>
        <v>12</v>
      </c>
      <c r="O79" s="58">
        <f t="shared" si="29"/>
        <v>29</v>
      </c>
      <c r="P79" s="59">
        <f t="shared" si="30"/>
        <v>0.70731707317073167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1.25" customHeight="1" x14ac:dyDescent="0.4">
      <c r="A80" s="17"/>
      <c r="B80" s="17" t="s">
        <v>309</v>
      </c>
      <c r="C80" s="54">
        <f>SUM(
'By Lot - West Campus'!E186:E191,'By Lot - West Campus'!E203:E208,
'By Lot - West Campus'!E237:E242,'By Lot - West Campus'!E254:E259,'By Lot - West Campus'!E271:E276,'By Lot - West Campus'!E288:E293,'By Lot - West Campus'!E305:E310,'By Lot - West Campus'!E322:E327,
'By Lot - West Campus'!E1258:E1263,'By Structure'!C12)</f>
        <v>24</v>
      </c>
      <c r="D80" s="54">
        <f>SUM(
'By Lot - West Campus'!F186:F191,'By Lot - West Campus'!F203:F208,
'By Lot - West Campus'!F237:F242,'By Lot - West Campus'!F254:F259,'By Lot - West Campus'!F271:F276,'By Lot - West Campus'!F288:F293,'By Lot - West Campus'!F305:F310,'By Lot - West Campus'!F322:F327,
'By Lot - West Campus'!F1258:F1263,'By Structure'!D12)</f>
        <v>12</v>
      </c>
      <c r="E80" s="58">
        <f>SUM(
'By Lot - West Campus'!G186:G191,'By Lot - West Campus'!G203:G208,
'By Lot - West Campus'!G237:G242,'By Lot - West Campus'!G254:G259,'By Lot - West Campus'!G271:G276,'By Lot - West Campus'!G288:G293,'By Lot - West Campus'!G305:G310,'By Lot - West Campus'!G322:G327,
'By Lot - West Campus'!G1258:G1263,'By Structure'!E12)</f>
        <v>11</v>
      </c>
      <c r="F80" s="58">
        <f>SUM(
'By Lot - West Campus'!H186:H191,'By Lot - West Campus'!H203:H208,
'By Lot - West Campus'!H237:H242,'By Lot - West Campus'!H254:H259,'By Lot - West Campus'!H271:H276,'By Lot - West Campus'!H288:H293,'By Lot - West Campus'!H305:H310,'By Lot - West Campus'!H322:H327,
'By Lot - West Campus'!H1258:H1263,'By Structure'!F12)</f>
        <v>1</v>
      </c>
      <c r="G80" s="58">
        <f>SUM(
'By Lot - West Campus'!I186:I191,'By Lot - West Campus'!I203:I208,
'By Lot - West Campus'!I237:I242,'By Lot - West Campus'!I254:I259,'By Lot - West Campus'!I271:I276,'By Lot - West Campus'!I288:I293,'By Lot - West Campus'!I305:I310,'By Lot - West Campus'!I322:I327,
'By Lot - West Campus'!I1258:I1263,'By Structure'!G12)</f>
        <v>1</v>
      </c>
      <c r="H80" s="58">
        <f>SUM(
'By Lot - West Campus'!J186:J191,'By Lot - West Campus'!J203:J208,
'By Lot - West Campus'!J237:J242,'By Lot - West Campus'!J254:J259,'By Lot - West Campus'!J271:J276,'By Lot - West Campus'!J288:J293,'By Lot - West Campus'!J305:J310,'By Lot - West Campus'!J322:J327,
'By Lot - West Campus'!J1258:J1263,'By Structure'!H12)</f>
        <v>1</v>
      </c>
      <c r="I80" s="58">
        <f>SUM(
'By Lot - West Campus'!K186:K191,'By Lot - West Campus'!K203:K208,
'By Lot - West Campus'!K237:K242,'By Lot - West Campus'!K254:K259,'By Lot - West Campus'!K271:K276,'By Lot - West Campus'!K288:K293,'By Lot - West Campus'!K305:K310,'By Lot - West Campus'!K322:K327,
'By Lot - West Campus'!K1258:K1263,'By Structure'!I12)</f>
        <v>1</v>
      </c>
      <c r="J80" s="58">
        <f>SUM(
'By Lot - West Campus'!L186:L191,'By Lot - West Campus'!L203:L208,
'By Lot - West Campus'!L237:L242,'By Lot - West Campus'!L254:L259,'By Lot - West Campus'!L271:L276,'By Lot - West Campus'!L288:L293,'By Lot - West Campus'!L305:L310,'By Lot - West Campus'!L322:L327,
'By Lot - West Campus'!L1258:L1263,'By Structure'!J12)</f>
        <v>1</v>
      </c>
      <c r="K80" s="58">
        <f>SUM(
'By Lot - West Campus'!M186:M191,'By Lot - West Campus'!M203:M208,
'By Lot - West Campus'!M237:M242,'By Lot - West Campus'!M254:M259,'By Lot - West Campus'!M271:M276,'By Lot - West Campus'!M288:M293,'By Lot - West Campus'!M305:M310,'By Lot - West Campus'!M322:M327,
'By Lot - West Campus'!M1258:M1263,'By Structure'!K12)</f>
        <v>6</v>
      </c>
      <c r="L80" s="58">
        <f>SUM(
'By Lot - West Campus'!N186:N191,'By Lot - West Campus'!N203:N208,
'By Lot - West Campus'!N237:N242,'By Lot - West Campus'!N254:N259,'By Lot - West Campus'!N271:N276,'By Lot - West Campus'!N288:N293,'By Lot - West Campus'!N305:N310,'By Lot - West Campus'!N322:N327,
'By Lot - West Campus'!N1258:N1263,'By Structure'!L12)</f>
        <v>4</v>
      </c>
      <c r="M80" s="60">
        <f>SUM(
'By Lot - West Campus'!O186:O191,'By Lot - West Campus'!O203:O208,
'By Lot - West Campus'!O237:O242,'By Lot - West Campus'!O254:O259,'By Lot - West Campus'!O271:O276,'By Lot - West Campus'!O288:O293,'By Lot - West Campus'!O305:O310,'By Lot - West Campus'!O322:O327,
'By Lot - West Campus'!O1258:O1263,'By Structure'!M12)</f>
        <v>6</v>
      </c>
      <c r="N80" s="58">
        <f t="shared" si="28"/>
        <v>1</v>
      </c>
      <c r="O80" s="58">
        <f t="shared" si="29"/>
        <v>23</v>
      </c>
      <c r="P80" s="59">
        <f t="shared" si="30"/>
        <v>0.95833333333333337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1.25" customHeight="1" x14ac:dyDescent="0.4">
      <c r="A81" s="17"/>
      <c r="B81" s="17" t="s">
        <v>310</v>
      </c>
      <c r="C81" s="54">
        <f>SUM(
'By Lot - West Campus'!E192,'By Lot - West Campus'!E209,
'By Lot - West Campus'!E243,'By Lot - West Campus'!E260,'By Lot - West Campus'!E277,'By Lot - West Campus'!E294,'By Lot - West Campus'!E311,'By Lot - West Campus'!E328,
'By Lot - West Campus'!E1264,'By Structure'!C13)</f>
        <v>76</v>
      </c>
      <c r="D81" s="54">
        <f>SUM(
'By Lot - West Campus'!F192,'By Lot - West Campus'!F209,
'By Lot - West Campus'!F243,'By Lot - West Campus'!F260,'By Lot - West Campus'!F277,'By Lot - West Campus'!F294,'By Lot - West Campus'!F311,'By Lot - West Campus'!F328,
'By Lot - West Campus'!F1264,'By Structure'!D13)</f>
        <v>47</v>
      </c>
      <c r="E81" s="58">
        <f>SUM(
'By Lot - West Campus'!G192,'By Lot - West Campus'!G209,
'By Lot - West Campus'!G243,'By Lot - West Campus'!G260,'By Lot - West Campus'!G277,'By Lot - West Campus'!G294,'By Lot - West Campus'!G311,'By Lot - West Campus'!G328,
'By Lot - West Campus'!G1264,'By Structure'!E13)</f>
        <v>43</v>
      </c>
      <c r="F81" s="58">
        <f>SUM(
'By Lot - West Campus'!H192,'By Lot - West Campus'!H209,
'By Lot - West Campus'!H243,'By Lot - West Campus'!H260,'By Lot - West Campus'!H277,'By Lot - West Campus'!H294,'By Lot - West Campus'!H311,'By Lot - West Campus'!H328,
'By Lot - West Campus'!H1264,'By Structure'!F13)</f>
        <v>39</v>
      </c>
      <c r="G81" s="58">
        <f>SUM(
'By Lot - West Campus'!I192,'By Lot - West Campus'!I209,
'By Lot - West Campus'!I243,'By Lot - West Campus'!I260,'By Lot - West Campus'!I277,'By Lot - West Campus'!I294,'By Lot - West Campus'!I311,'By Lot - West Campus'!I328,
'By Lot - West Campus'!I1264,'By Structure'!G13)</f>
        <v>39</v>
      </c>
      <c r="H81" s="58">
        <f>SUM(
'By Lot - West Campus'!J192,'By Lot - West Campus'!J209,
'By Lot - West Campus'!J243,'By Lot - West Campus'!J260,'By Lot - West Campus'!J277,'By Lot - West Campus'!J294,'By Lot - West Campus'!J311,'By Lot - West Campus'!J328,
'By Lot - West Campus'!J1264,'By Structure'!H13)</f>
        <v>37</v>
      </c>
      <c r="I81" s="58">
        <f>SUM(
'By Lot - West Campus'!K192,'By Lot - West Campus'!K209,
'By Lot - West Campus'!K243,'By Lot - West Campus'!K260,'By Lot - West Campus'!K277,'By Lot - West Campus'!K294,'By Lot - West Campus'!K311,'By Lot - West Campus'!K328,
'By Lot - West Campus'!K1264,'By Structure'!I13)</f>
        <v>37</v>
      </c>
      <c r="J81" s="58">
        <f>SUM(
'By Lot - West Campus'!L192,'By Lot - West Campus'!L209,
'By Lot - West Campus'!L243,'By Lot - West Campus'!L260,'By Lot - West Campus'!L277,'By Lot - West Campus'!L294,'By Lot - West Campus'!L311,'By Lot - West Campus'!L328,
'By Lot - West Campus'!L1264,'By Structure'!J13)</f>
        <v>32</v>
      </c>
      <c r="K81" s="58">
        <f>SUM(
'By Lot - West Campus'!M192,'By Lot - West Campus'!M209,
'By Lot - West Campus'!M243,'By Lot - West Campus'!M260,'By Lot - West Campus'!M277,'By Lot - West Campus'!M294,'By Lot - West Campus'!M311,'By Lot - West Campus'!M328,
'By Lot - West Campus'!M1264,'By Structure'!K13)</f>
        <v>35</v>
      </c>
      <c r="L81" s="58">
        <f>SUM(
'By Lot - West Campus'!N192,'By Lot - West Campus'!N209,
'By Lot - West Campus'!N243,'By Lot - West Campus'!N260,'By Lot - West Campus'!N277,'By Lot - West Campus'!N294,'By Lot - West Campus'!N311,'By Lot - West Campus'!N328,
'By Lot - West Campus'!N1264,'By Structure'!L13)</f>
        <v>39</v>
      </c>
      <c r="M81" s="31">
        <f>SUM(
'By Lot - West Campus'!O192,'By Lot - West Campus'!O209,
'By Lot - West Campus'!O243,'By Lot - West Campus'!O260,'By Lot - West Campus'!O277,'By Lot - West Campus'!O294,'By Lot - West Campus'!O311,'By Lot - West Campus'!O328,
'By Lot - West Campus'!O1264,'By Structure'!M13)</f>
        <v>45</v>
      </c>
      <c r="N81" s="58">
        <f t="shared" si="28"/>
        <v>32</v>
      </c>
      <c r="O81" s="58">
        <f t="shared" si="29"/>
        <v>44</v>
      </c>
      <c r="P81" s="59">
        <f t="shared" si="30"/>
        <v>0.57894736842105265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1.25" customHeight="1" x14ac:dyDescent="0.4">
      <c r="A82" s="17"/>
      <c r="B82" s="17" t="s">
        <v>311</v>
      </c>
      <c r="C82" s="156">
        <f>SUM(
'By Lot - West Campus'!E193,'By Lot - West Campus'!E210,
'By Lot - West Campus'!E244,'By Lot - West Campus'!E261,'By Lot - West Campus'!E278,'By Lot - West Campus'!E295,'By Lot - West Campus'!E312,'By Lot - West Campus'!E329,
'By Lot - West Campus'!E1265,'By Structure'!C14)</f>
        <v>0</v>
      </c>
      <c r="D82" s="156">
        <f>SUM(
'By Lot - West Campus'!F193,'By Lot - West Campus'!F210,
'By Lot - West Campus'!F244,'By Lot - West Campus'!F261,'By Lot - West Campus'!F278,'By Lot - West Campus'!F295,'By Lot - West Campus'!F312,'By Lot - West Campus'!F329,
'By Lot - West Campus'!F1265,'By Structure'!D14)</f>
        <v>0</v>
      </c>
      <c r="E82" s="100">
        <f>SUM(
'By Lot - West Campus'!G193,'By Lot - West Campus'!G210,
'By Lot - West Campus'!G244,'By Lot - West Campus'!G261,'By Lot - West Campus'!G278,'By Lot - West Campus'!G295,'By Lot - West Campus'!G312,'By Lot - West Campus'!G329,
'By Lot - West Campus'!G1265,'By Structure'!E14)</f>
        <v>0</v>
      </c>
      <c r="F82" s="100">
        <f>SUM(
'By Lot - West Campus'!H193,'By Lot - West Campus'!H210,
'By Lot - West Campus'!H244,'By Lot - West Campus'!H261,'By Lot - West Campus'!H278,'By Lot - West Campus'!H295,'By Lot - West Campus'!H312,'By Lot - West Campus'!H329,
'By Lot - West Campus'!H1265,'By Structure'!F14)</f>
        <v>0</v>
      </c>
      <c r="G82" s="100">
        <f>SUM(
'By Lot - West Campus'!I193,'By Lot - West Campus'!I210,
'By Lot - West Campus'!I244,'By Lot - West Campus'!I261,'By Lot - West Campus'!I278,'By Lot - West Campus'!I295,'By Lot - West Campus'!I312,'By Lot - West Campus'!I329,
'By Lot - West Campus'!I1265,'By Structure'!G14)</f>
        <v>0</v>
      </c>
      <c r="H82" s="100">
        <f>SUM(
'By Lot - West Campus'!J193,'By Lot - West Campus'!J210,
'By Lot - West Campus'!J244,'By Lot - West Campus'!J261,'By Lot - West Campus'!J278,'By Lot - West Campus'!J295,'By Lot - West Campus'!J312,'By Lot - West Campus'!J329,
'By Lot - West Campus'!J1265,'By Structure'!H14)</f>
        <v>0</v>
      </c>
      <c r="I82" s="100">
        <f>SUM(
'By Lot - West Campus'!K193,'By Lot - West Campus'!K210,
'By Lot - West Campus'!K244,'By Lot - West Campus'!K261,'By Lot - West Campus'!K278,'By Lot - West Campus'!K295,'By Lot - West Campus'!K312,'By Lot - West Campus'!K329,
'By Lot - West Campus'!K1265,'By Structure'!I14)</f>
        <v>0</v>
      </c>
      <c r="J82" s="100">
        <f>SUM(
'By Lot - West Campus'!L193,'By Lot - West Campus'!L210,
'By Lot - West Campus'!L244,'By Lot - West Campus'!L261,'By Lot - West Campus'!L278,'By Lot - West Campus'!L295,'By Lot - West Campus'!L312,'By Lot - West Campus'!L329,
'By Lot - West Campus'!L1265,'By Structure'!J14)</f>
        <v>0</v>
      </c>
      <c r="K82" s="100">
        <f>SUM(
'By Lot - West Campus'!M193,'By Lot - West Campus'!M210,
'By Lot - West Campus'!M244,'By Lot - West Campus'!M261,'By Lot - West Campus'!M278,'By Lot - West Campus'!M295,'By Lot - West Campus'!M312,'By Lot - West Campus'!M329,
'By Lot - West Campus'!M1265,'By Structure'!K14)</f>
        <v>0</v>
      </c>
      <c r="L82" s="100">
        <f>SUM(
'By Lot - West Campus'!N193,'By Lot - West Campus'!N210,
'By Lot - West Campus'!N244,'By Lot - West Campus'!N261,'By Lot - West Campus'!N278,'By Lot - West Campus'!N295,'By Lot - West Campus'!N312,'By Lot - West Campus'!N329,
'By Lot - West Campus'!N1265,'By Structure'!L14)</f>
        <v>0</v>
      </c>
      <c r="M82" s="60">
        <f>SUM(
'By Lot - West Campus'!O193,'By Lot - West Campus'!O210,
'By Lot - West Campus'!O244,'By Lot - West Campus'!O261,'By Lot - West Campus'!O278,'By Lot - West Campus'!O295,'By Lot - West Campus'!O312,'By Lot - West Campus'!O329,
'By Lot - West Campus'!O1265,'By Structure'!M14)</f>
        <v>0</v>
      </c>
      <c r="N82" s="100"/>
      <c r="O82" s="100"/>
      <c r="P82" s="132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1.25" customHeight="1" x14ac:dyDescent="0.4">
      <c r="A83" s="17"/>
      <c r="B83" s="17" t="s">
        <v>312</v>
      </c>
      <c r="C83" s="54">
        <f>SUM(
'By Lot - West Campus'!E194,'By Lot - West Campus'!E211,
'By Lot - West Campus'!E245,'By Lot - West Campus'!E262,'By Lot - West Campus'!E279,'By Lot - West Campus'!E296,'By Lot - West Campus'!E313,'By Lot - West Campus'!E330,
'By Lot - West Campus'!E1266,'By Structure'!C15)</f>
        <v>13</v>
      </c>
      <c r="D83" s="54">
        <f>SUM(
'By Lot - West Campus'!F194,'By Lot - West Campus'!F211,
'By Lot - West Campus'!F245,'By Lot - West Campus'!F262,'By Lot - West Campus'!F279,'By Lot - West Campus'!F296,'By Lot - West Campus'!F313,'By Lot - West Campus'!F330,
'By Lot - West Campus'!F1266,'By Structure'!D15)</f>
        <v>5</v>
      </c>
      <c r="E83" s="58">
        <f>SUM(
'By Lot - West Campus'!G194,'By Lot - West Campus'!G211,
'By Lot - West Campus'!G245,'By Lot - West Campus'!G262,'By Lot - West Campus'!G279,'By Lot - West Campus'!G296,'By Lot - West Campus'!G313,'By Lot - West Campus'!G330,
'By Lot - West Campus'!G1266,'By Structure'!E15)</f>
        <v>1</v>
      </c>
      <c r="F83" s="58">
        <f>SUM(
'By Lot - West Campus'!H194,'By Lot - West Campus'!H211,
'By Lot - West Campus'!H245,'By Lot - West Campus'!H262,'By Lot - West Campus'!H279,'By Lot - West Campus'!H296,'By Lot - West Campus'!H313,'By Lot - West Campus'!H330,
'By Lot - West Campus'!H1266,'By Structure'!F15)</f>
        <v>0</v>
      </c>
      <c r="G83" s="58">
        <f>SUM(
'By Lot - West Campus'!I194,'By Lot - West Campus'!I211,
'By Lot - West Campus'!I245,'By Lot - West Campus'!I262,'By Lot - West Campus'!I279,'By Lot - West Campus'!I296,'By Lot - West Campus'!I313,'By Lot - West Campus'!I330,
'By Lot - West Campus'!I1266,'By Structure'!G15)</f>
        <v>1</v>
      </c>
      <c r="H83" s="58">
        <f>SUM(
'By Lot - West Campus'!J194,'By Lot - West Campus'!J211,
'By Lot - West Campus'!J245,'By Lot - West Campus'!J262,'By Lot - West Campus'!J279,'By Lot - West Campus'!J296,'By Lot - West Campus'!J313,'By Lot - West Campus'!J330,
'By Lot - West Campus'!J1266,'By Structure'!H15)</f>
        <v>3</v>
      </c>
      <c r="I83" s="58">
        <f>SUM(
'By Lot - West Campus'!K194,'By Lot - West Campus'!K211,
'By Lot - West Campus'!K245,'By Lot - West Campus'!K262,'By Lot - West Campus'!K279,'By Lot - West Campus'!K296,'By Lot - West Campus'!K313,'By Lot - West Campus'!K330,
'By Lot - West Campus'!K1266,'By Structure'!I15)</f>
        <v>3</v>
      </c>
      <c r="J83" s="58">
        <f>SUM(
'By Lot - West Campus'!L194,'By Lot - West Campus'!L211,
'By Lot - West Campus'!L245,'By Lot - West Campus'!L262,'By Lot - West Campus'!L279,'By Lot - West Campus'!L296,'By Lot - West Campus'!L313,'By Lot - West Campus'!L330,
'By Lot - West Campus'!L1266,'By Structure'!J15)</f>
        <v>0</v>
      </c>
      <c r="K83" s="58">
        <f>SUM(
'By Lot - West Campus'!M194,'By Lot - West Campus'!M211,
'By Lot - West Campus'!M245,'By Lot - West Campus'!M262,'By Lot - West Campus'!M279,'By Lot - West Campus'!M296,'By Lot - West Campus'!M313,'By Lot - West Campus'!M330,
'By Lot - West Campus'!M1266,'By Structure'!K15)</f>
        <v>1</v>
      </c>
      <c r="L83" s="58">
        <f>SUM(
'By Lot - West Campus'!N194,'By Lot - West Campus'!N211,
'By Lot - West Campus'!N245,'By Lot - West Campus'!N262,'By Lot - West Campus'!N279,'By Lot - West Campus'!N296,'By Lot - West Campus'!N313,'By Lot - West Campus'!N330,
'By Lot - West Campus'!N1266,'By Structure'!L15)</f>
        <v>2</v>
      </c>
      <c r="M83" s="60">
        <f>SUM(
'By Lot - West Campus'!O194,'By Lot - West Campus'!O211,
'By Lot - West Campus'!O245,'By Lot - West Campus'!O262,'By Lot - West Campus'!O279,'By Lot - West Campus'!O296,'By Lot - West Campus'!O313,'By Lot - West Campus'!O330,
'By Lot - West Campus'!O1266,'By Structure'!M15)</f>
        <v>2</v>
      </c>
      <c r="N83" s="58">
        <f t="shared" ref="N83:N87" si="31">MIN(D83:M83)</f>
        <v>0</v>
      </c>
      <c r="O83" s="58">
        <f t="shared" ref="O83:O87" si="32">C83-N83</f>
        <v>13</v>
      </c>
      <c r="P83" s="59">
        <f t="shared" ref="P83:P87" si="33">O83/C83</f>
        <v>1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1.25" customHeight="1" x14ac:dyDescent="0.4">
      <c r="A84" s="17"/>
      <c r="B84" s="17" t="s">
        <v>313</v>
      </c>
      <c r="C84" s="54">
        <f>SUM(
'By Lot - West Campus'!E195,'By Lot - West Campus'!E212,
'By Lot - West Campus'!E246,'By Lot - West Campus'!E263,'By Lot - West Campus'!E280,'By Lot - West Campus'!E297,'By Lot - West Campus'!E314,'By Lot - West Campus'!E331,
'By Lot - West Campus'!E1267,'By Structure'!C16)</f>
        <v>16</v>
      </c>
      <c r="D84" s="62">
        <f>SUM(
'By Lot - West Campus'!F195,'By Lot - West Campus'!F212,
'By Lot - West Campus'!F246,'By Lot - West Campus'!F263,'By Lot - West Campus'!F280,'By Lot - West Campus'!F297,'By Lot - West Campus'!F314,'By Lot - West Campus'!F331,
'By Lot - West Campus'!F1267,'By Structure'!D16)</f>
        <v>7</v>
      </c>
      <c r="E84" s="63">
        <f>SUM(
'By Lot - West Campus'!G195,'By Lot - West Campus'!G212,
'By Lot - West Campus'!G246,'By Lot - West Campus'!G263,'By Lot - West Campus'!G280,'By Lot - West Campus'!G297,'By Lot - West Campus'!G314,'By Lot - West Campus'!G331,
'By Lot - West Campus'!G1267,'By Structure'!E16)</f>
        <v>7</v>
      </c>
      <c r="F84" s="63">
        <f>SUM(
'By Lot - West Campus'!H195,'By Lot - West Campus'!H212,
'By Lot - West Campus'!H246,'By Lot - West Campus'!H263,'By Lot - West Campus'!H280,'By Lot - West Campus'!H297,'By Lot - West Campus'!H314,'By Lot - West Campus'!H331,
'By Lot - West Campus'!H1267,'By Structure'!F16)</f>
        <v>5</v>
      </c>
      <c r="G84" s="63">
        <f>SUM(
'By Lot - West Campus'!I195,'By Lot - West Campus'!I212,
'By Lot - West Campus'!I246,'By Lot - West Campus'!I263,'By Lot - West Campus'!I280,'By Lot - West Campus'!I297,'By Lot - West Campus'!I314,'By Lot - West Campus'!I331,
'By Lot - West Campus'!I1267,'By Structure'!G16)</f>
        <v>3</v>
      </c>
      <c r="H84" s="63">
        <f>SUM(
'By Lot - West Campus'!J195,'By Lot - West Campus'!J212,
'By Lot - West Campus'!J246,'By Lot - West Campus'!J263,'By Lot - West Campus'!J280,'By Lot - West Campus'!J297,'By Lot - West Campus'!J314,'By Lot - West Campus'!J331,
'By Lot - West Campus'!J1267,'By Structure'!H16)</f>
        <v>1</v>
      </c>
      <c r="I84" s="63">
        <f>SUM(
'By Lot - West Campus'!K195,'By Lot - West Campus'!K212,
'By Lot - West Campus'!K246,'By Lot - West Campus'!K263,'By Lot - West Campus'!K280,'By Lot - West Campus'!K297,'By Lot - West Campus'!K314,'By Lot - West Campus'!K331,
'By Lot - West Campus'!K1267,'By Structure'!I16)</f>
        <v>3</v>
      </c>
      <c r="J84" s="63">
        <f>SUM(
'By Lot - West Campus'!L195,'By Lot - West Campus'!L212,
'By Lot - West Campus'!L246,'By Lot - West Campus'!L263,'By Lot - West Campus'!L280,'By Lot - West Campus'!L297,'By Lot - West Campus'!L314,'By Lot - West Campus'!L331,
'By Lot - West Campus'!L1267,'By Structure'!J16)</f>
        <v>1</v>
      </c>
      <c r="K84" s="63">
        <f>SUM(
'By Lot - West Campus'!M195,'By Lot - West Campus'!M212,
'By Lot - West Campus'!M246,'By Lot - West Campus'!M263,'By Lot - West Campus'!M280,'By Lot - West Campus'!M297,'By Lot - West Campus'!M314,'By Lot - West Campus'!M331,
'By Lot - West Campus'!M1267,'By Structure'!K16)</f>
        <v>6</v>
      </c>
      <c r="L84" s="63">
        <f>SUM(
'By Lot - West Campus'!N195,'By Lot - West Campus'!N212,
'By Lot - West Campus'!N246,'By Lot - West Campus'!N263,'By Lot - West Campus'!N280,'By Lot - West Campus'!N297,'By Lot - West Campus'!N314,'By Lot - West Campus'!N331,
'By Lot - West Campus'!N1267,'By Structure'!L16)</f>
        <v>8</v>
      </c>
      <c r="M84" s="31">
        <f>SUM(
'By Lot - West Campus'!O195,'By Lot - West Campus'!O212,
'By Lot - West Campus'!O246,'By Lot - West Campus'!O263,'By Lot - West Campus'!O280,'By Lot - West Campus'!O297,'By Lot - West Campus'!O314,'By Lot - West Campus'!O331,
'By Lot - West Campus'!O1267,'By Structure'!M16)</f>
        <v>11</v>
      </c>
      <c r="N84" s="58">
        <f t="shared" si="31"/>
        <v>1</v>
      </c>
      <c r="O84" s="58">
        <f t="shared" si="32"/>
        <v>15</v>
      </c>
      <c r="P84" s="59">
        <f t="shared" si="33"/>
        <v>0.9375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1.25" customHeight="1" x14ac:dyDescent="0.4">
      <c r="A85" s="34"/>
      <c r="B85" s="65" t="s">
        <v>314</v>
      </c>
      <c r="C85" s="66">
        <f t="shared" ref="C85:M85" si="34">SUM(C75:C84)</f>
        <v>1171</v>
      </c>
      <c r="D85" s="67">
        <f t="shared" si="34"/>
        <v>346</v>
      </c>
      <c r="E85" s="68">
        <f t="shared" si="34"/>
        <v>221</v>
      </c>
      <c r="F85" s="68">
        <f t="shared" si="34"/>
        <v>91</v>
      </c>
      <c r="G85" s="68">
        <f t="shared" si="34"/>
        <v>73</v>
      </c>
      <c r="H85" s="68">
        <f t="shared" si="34"/>
        <v>62</v>
      </c>
      <c r="I85" s="68">
        <f t="shared" si="34"/>
        <v>65</v>
      </c>
      <c r="J85" s="68">
        <f t="shared" si="34"/>
        <v>65</v>
      </c>
      <c r="K85" s="68">
        <f t="shared" si="34"/>
        <v>118</v>
      </c>
      <c r="L85" s="68">
        <f t="shared" si="34"/>
        <v>226</v>
      </c>
      <c r="M85" s="129">
        <f t="shared" si="34"/>
        <v>336</v>
      </c>
      <c r="N85" s="70">
        <f t="shared" si="31"/>
        <v>62</v>
      </c>
      <c r="O85" s="71">
        <f t="shared" si="32"/>
        <v>1109</v>
      </c>
      <c r="P85" s="72">
        <f t="shared" si="33"/>
        <v>0.94705380017079421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1.25" customHeight="1" x14ac:dyDescent="0.4">
      <c r="A86" s="15" t="s">
        <v>20</v>
      </c>
      <c r="B86" s="17" t="s">
        <v>300</v>
      </c>
      <c r="C86" s="17">
        <f>SUM(P302A,  P303A,  P304A, P308A,  P309A, P310A)</f>
        <v>222</v>
      </c>
      <c r="D86" s="54">
        <f>SUM('By Lot - West Campus'!F384,'By Lot - West Campus'!F401,'By Lot - West Campus'!F418,'By Lot - West Campus'!F452,'By Lot - West Campus'!F469,'By Lot - West Campus'!F486)</f>
        <v>119</v>
      </c>
      <c r="E86" s="58">
        <f>SUM('By Lot - West Campus'!G384,'By Lot - West Campus'!G401,'By Lot - West Campus'!G418,'By Lot - West Campus'!G452,'By Lot - West Campus'!G469,'By Lot - West Campus'!G486)</f>
        <v>3</v>
      </c>
      <c r="F86" s="58">
        <f>SUM('By Lot - West Campus'!H384,'By Lot - West Campus'!H401,'By Lot - West Campus'!H418,'By Lot - West Campus'!H452,'By Lot - West Campus'!H469,'By Lot - West Campus'!H486)</f>
        <v>3</v>
      </c>
      <c r="G86" s="58">
        <f>SUM('By Lot - West Campus'!I384,'By Lot - West Campus'!I401,'By Lot - West Campus'!I418,'By Lot - West Campus'!I452,'By Lot - West Campus'!I469,'By Lot - West Campus'!I486)</f>
        <v>1</v>
      </c>
      <c r="H86" s="58">
        <f>SUM('By Lot - West Campus'!J384,'By Lot - West Campus'!J401,'By Lot - West Campus'!J418,'By Lot - West Campus'!J452,'By Lot - West Campus'!J469,'By Lot - West Campus'!J486)</f>
        <v>0</v>
      </c>
      <c r="I86" s="58">
        <f>SUM('By Lot - West Campus'!K384,'By Lot - West Campus'!K401,'By Lot - West Campus'!K418,'By Lot - West Campus'!K452,'By Lot - West Campus'!K469,'By Lot - West Campus'!K486)</f>
        <v>9</v>
      </c>
      <c r="J86" s="58">
        <f>SUM('By Lot - West Campus'!L384,'By Lot - West Campus'!L401,'By Lot - West Campus'!L418,'By Lot - West Campus'!L452,'By Lot - West Campus'!L469,'By Lot - West Campus'!L486)</f>
        <v>21</v>
      </c>
      <c r="K86" s="58">
        <f>SUM('By Lot - West Campus'!M384,'By Lot - West Campus'!M401,'By Lot - West Campus'!M418,'By Lot - West Campus'!M452,'By Lot - West Campus'!M469,'By Lot - West Campus'!M486)</f>
        <v>26</v>
      </c>
      <c r="L86" s="58">
        <f>SUM('By Lot - West Campus'!N384,'By Lot - West Campus'!N401,'By Lot - West Campus'!N418,'By Lot - West Campus'!N452,'By Lot - West Campus'!N469,'By Lot - West Campus'!N486)</f>
        <v>110</v>
      </c>
      <c r="M86" s="60">
        <f>SUM('By Lot - West Campus'!O384,'By Lot - West Campus'!O401,'By Lot - West Campus'!O418,'By Lot - West Campus'!O452,'By Lot - West Campus'!O469,'By Lot - West Campus'!O486)</f>
        <v>107</v>
      </c>
      <c r="N86" s="54">
        <f t="shared" si="31"/>
        <v>0</v>
      </c>
      <c r="O86" s="58">
        <f t="shared" si="32"/>
        <v>222</v>
      </c>
      <c r="P86" s="59">
        <f t="shared" si="33"/>
        <v>1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1.25" customHeight="1" x14ac:dyDescent="0.4">
      <c r="A87" s="17" t="s">
        <v>33</v>
      </c>
      <c r="B87" s="17" t="s">
        <v>301</v>
      </c>
      <c r="C87" s="17">
        <f>SUM(P302B,  P303B,  P304B, P308B,  P309B, P310B)</f>
        <v>163</v>
      </c>
      <c r="D87" s="54">
        <f>SUM('By Lot - West Campus'!F385,'By Lot - West Campus'!F402,'By Lot - West Campus'!F419,'By Lot - West Campus'!F453,'By Lot - West Campus'!F470,'By Lot - West Campus'!F487)</f>
        <v>63</v>
      </c>
      <c r="E87" s="58">
        <f>SUM('By Lot - West Campus'!G385,'By Lot - West Campus'!G402,'By Lot - West Campus'!G419,'By Lot - West Campus'!G453,'By Lot - West Campus'!G470,'By Lot - West Campus'!G487)</f>
        <v>6</v>
      </c>
      <c r="F87" s="58">
        <f>SUM('By Lot - West Campus'!H385,'By Lot - West Campus'!H402,'By Lot - West Campus'!H419,'By Lot - West Campus'!H453,'By Lot - West Campus'!H470,'By Lot - West Campus'!H487)</f>
        <v>0</v>
      </c>
      <c r="G87" s="58">
        <f>SUM('By Lot - West Campus'!I385,'By Lot - West Campus'!I402,'By Lot - West Campus'!I419,'By Lot - West Campus'!I453,'By Lot - West Campus'!I470,'By Lot - West Campus'!I487)</f>
        <v>3</v>
      </c>
      <c r="H87" s="58">
        <f>SUM('By Lot - West Campus'!J385,'By Lot - West Campus'!J402,'By Lot - West Campus'!J419,'By Lot - West Campus'!J453,'By Lot - West Campus'!J470,'By Lot - West Campus'!J487)</f>
        <v>1</v>
      </c>
      <c r="I87" s="58">
        <f>SUM('By Lot - West Campus'!K385,'By Lot - West Campus'!K402,'By Lot - West Campus'!K419,'By Lot - West Campus'!K453,'By Lot - West Campus'!K470,'By Lot - West Campus'!K487)</f>
        <v>5</v>
      </c>
      <c r="J87" s="58">
        <f>SUM('By Lot - West Campus'!L385,'By Lot - West Campus'!L402,'By Lot - West Campus'!L419,'By Lot - West Campus'!L453,'By Lot - West Campus'!L470,'By Lot - West Campus'!L487)</f>
        <v>1</v>
      </c>
      <c r="K87" s="58">
        <f>SUM('By Lot - West Campus'!M385,'By Lot - West Campus'!M402,'By Lot - West Campus'!M419,'By Lot - West Campus'!M453,'By Lot - West Campus'!M470,'By Lot - West Campus'!M487)</f>
        <v>7</v>
      </c>
      <c r="L87" s="58">
        <f>SUM('By Lot - West Campus'!N385,'By Lot - West Campus'!N402,'By Lot - West Campus'!N419,'By Lot - West Campus'!N453,'By Lot - West Campus'!N470,'By Lot - West Campus'!N487)</f>
        <v>43</v>
      </c>
      <c r="M87" s="60">
        <f>SUM('By Lot - West Campus'!O385,'By Lot - West Campus'!O402,'By Lot - West Campus'!O419,'By Lot - West Campus'!O453,'By Lot - West Campus'!O470,'By Lot - West Campus'!O487)</f>
        <v>87</v>
      </c>
      <c r="N87" s="54">
        <f t="shared" si="31"/>
        <v>0</v>
      </c>
      <c r="O87" s="58">
        <f t="shared" si="32"/>
        <v>163</v>
      </c>
      <c r="P87" s="59">
        <f t="shared" si="33"/>
        <v>1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1.25" customHeight="1" x14ac:dyDescent="0.4">
      <c r="A88" s="17"/>
      <c r="B88" s="17" t="s">
        <v>303</v>
      </c>
      <c r="C88" s="17"/>
      <c r="D88" s="32"/>
      <c r="E88" s="6"/>
      <c r="F88" s="6"/>
      <c r="G88" s="6"/>
      <c r="H88" s="6"/>
      <c r="I88" s="6"/>
      <c r="J88" s="6"/>
      <c r="K88" s="6"/>
      <c r="L88" s="6"/>
      <c r="M88" s="31"/>
      <c r="N88" s="32"/>
      <c r="O88" s="6"/>
      <c r="P88" s="59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1.25" customHeight="1" x14ac:dyDescent="0.4">
      <c r="A89" s="17"/>
      <c r="B89" s="17" t="s">
        <v>307</v>
      </c>
      <c r="C89" s="17">
        <f>SUM(P302Visitor,  P303Visitor,  P304Visitor, P308Visitor,  P309Visitor, P310Visitor)</f>
        <v>32</v>
      </c>
      <c r="D89" s="54">
        <f>SUM('By Lot - West Campus'!F387:F388,'By Lot - West Campus'!F404:F405,'By Lot - West Campus'!F421:F422,'By Lot - West Campus'!F455:F456,'By Lot - West Campus'!F472:F473,'By Lot - West Campus'!F489:F490)</f>
        <v>11</v>
      </c>
      <c r="E89" s="58">
        <f>SUM('By Lot - West Campus'!G387:G388,'By Lot - West Campus'!G404:G405,'By Lot - West Campus'!G421:G422,'By Lot - West Campus'!G455:G456,'By Lot - West Campus'!G472:G473,'By Lot - West Campus'!G489:G490)</f>
        <v>0</v>
      </c>
      <c r="F89" s="58">
        <f>SUM('By Lot - West Campus'!H387:H388,'By Lot - West Campus'!H404:H405,'By Lot - West Campus'!H421:H422,'By Lot - West Campus'!H455:H456,'By Lot - West Campus'!H472:H473,'By Lot - West Campus'!H489:H490)</f>
        <v>0</v>
      </c>
      <c r="G89" s="58">
        <f>SUM('By Lot - West Campus'!I387:I388,'By Lot - West Campus'!I404:I405,'By Lot - West Campus'!I421:I422,'By Lot - West Campus'!I455:I456,'By Lot - West Campus'!I472:I473,'By Lot - West Campus'!I489:I490)</f>
        <v>0</v>
      </c>
      <c r="H89" s="58">
        <f>SUM('By Lot - West Campus'!J387:J388,'By Lot - West Campus'!J404:J405,'By Lot - West Campus'!J421:J422,'By Lot - West Campus'!J455:J456,'By Lot - West Campus'!J472:J473,'By Lot - West Campus'!J489:J490)</f>
        <v>0</v>
      </c>
      <c r="I89" s="58">
        <f>SUM('By Lot - West Campus'!K387:K388,'By Lot - West Campus'!K404:K405,'By Lot - West Campus'!K421:K422,'By Lot - West Campus'!K455:K456,'By Lot - West Campus'!K472:K473,'By Lot - West Campus'!K489:K490)</f>
        <v>5</v>
      </c>
      <c r="J89" s="58">
        <f>SUM('By Lot - West Campus'!L387:L388,'By Lot - West Campus'!L404:L405,'By Lot - West Campus'!L421:L422,'By Lot - West Campus'!L455:L456,'By Lot - West Campus'!L472:L473,'By Lot - West Campus'!L489:L490)</f>
        <v>0</v>
      </c>
      <c r="K89" s="58">
        <f>SUM('By Lot - West Campus'!M387:M388,'By Lot - West Campus'!M404:M405,'By Lot - West Campus'!M421:M422,'By Lot - West Campus'!M455:M456,'By Lot - West Campus'!M472:M473,'By Lot - West Campus'!M489:M490)</f>
        <v>3</v>
      </c>
      <c r="L89" s="58">
        <f>SUM('By Lot - West Campus'!N387:N388,'By Lot - West Campus'!N404:N405,'By Lot - West Campus'!N421:N422,'By Lot - West Campus'!N455:N456,'By Lot - West Campus'!N472:N473,'By Lot - West Campus'!N489:N490)</f>
        <v>13</v>
      </c>
      <c r="M89" s="60">
        <f>SUM('By Lot - West Campus'!O387:O388,'By Lot - West Campus'!O404:O405,'By Lot - West Campus'!O421:O422,'By Lot - West Campus'!O455:O456,'By Lot - West Campus'!O472:O473,'By Lot - West Campus'!O489:O490)</f>
        <v>12</v>
      </c>
      <c r="N89" s="54">
        <f t="shared" ref="N89:N92" si="35">MIN(D89:M89)</f>
        <v>0</v>
      </c>
      <c r="O89" s="58">
        <f t="shared" ref="O89:O92" si="36">C89-N89</f>
        <v>32</v>
      </c>
      <c r="P89" s="59">
        <f t="shared" ref="P89:P92" si="37">O89/C89</f>
        <v>1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1.25" customHeight="1" x14ac:dyDescent="0.4">
      <c r="A90" s="17"/>
      <c r="B90" s="17" t="s">
        <v>308</v>
      </c>
      <c r="C90" s="17">
        <f>SUM(P302Reserved,  P303Reserved,  P304Reserved, P308Reserved,  P309Reserved, P310Reserved)</f>
        <v>9</v>
      </c>
      <c r="D90" s="54">
        <f>SUM('By Lot - West Campus'!F389,'By Lot - West Campus'!F406,'By Lot - West Campus'!F423,'By Lot - West Campus'!F457,'By Lot - West Campus'!F474,'By Lot - West Campus'!F491)</f>
        <v>5</v>
      </c>
      <c r="E90" s="58">
        <f>SUM('By Lot - West Campus'!G389,'By Lot - West Campus'!G406,'By Lot - West Campus'!G423,'By Lot - West Campus'!G457,'By Lot - West Campus'!G474,'By Lot - West Campus'!G491)</f>
        <v>6</v>
      </c>
      <c r="F90" s="58">
        <f>SUM('By Lot - West Campus'!H389,'By Lot - West Campus'!H406,'By Lot - West Campus'!H423,'By Lot - West Campus'!H457,'By Lot - West Campus'!H474,'By Lot - West Campus'!H491)</f>
        <v>5</v>
      </c>
      <c r="G90" s="58">
        <f>SUM('By Lot - West Campus'!I389,'By Lot - West Campus'!I406,'By Lot - West Campus'!I423,'By Lot - West Campus'!I457,'By Lot - West Campus'!I474,'By Lot - West Campus'!I491)</f>
        <v>5</v>
      </c>
      <c r="H90" s="58">
        <f>SUM('By Lot - West Campus'!J389,'By Lot - West Campus'!J406,'By Lot - West Campus'!J423,'By Lot - West Campus'!J457,'By Lot - West Campus'!J474,'By Lot - West Campus'!J491)</f>
        <v>4</v>
      </c>
      <c r="I90" s="58">
        <f>SUM('By Lot - West Campus'!K389,'By Lot - West Campus'!K406,'By Lot - West Campus'!K423,'By Lot - West Campus'!K457,'By Lot - West Campus'!K474,'By Lot - West Campus'!K491)</f>
        <v>5</v>
      </c>
      <c r="J90" s="58">
        <f>SUM('By Lot - West Campus'!L389,'By Lot - West Campus'!L406,'By Lot - West Campus'!L423,'By Lot - West Campus'!L457,'By Lot - West Campus'!L474,'By Lot - West Campus'!L491)</f>
        <v>7</v>
      </c>
      <c r="K90" s="58">
        <f>SUM('By Lot - West Campus'!M389,'By Lot - West Campus'!M406,'By Lot - West Campus'!M423,'By Lot - West Campus'!M457,'By Lot - West Campus'!M474,'By Lot - West Campus'!M491)</f>
        <v>4</v>
      </c>
      <c r="L90" s="58">
        <f>SUM('By Lot - West Campus'!N389,'By Lot - West Campus'!N406,'By Lot - West Campus'!N423,'By Lot - West Campus'!N457,'By Lot - West Campus'!N474,'By Lot - West Campus'!N491)</f>
        <v>6</v>
      </c>
      <c r="M90" s="60">
        <f>SUM('By Lot - West Campus'!O389,'By Lot - West Campus'!O406,'By Lot - West Campus'!O423,'By Lot - West Campus'!O457,'By Lot - West Campus'!O474,'By Lot - West Campus'!O491)</f>
        <v>8</v>
      </c>
      <c r="N90" s="54">
        <f t="shared" si="35"/>
        <v>4</v>
      </c>
      <c r="O90" s="58">
        <f t="shared" si="36"/>
        <v>5</v>
      </c>
      <c r="P90" s="59">
        <f t="shared" si="37"/>
        <v>0.55555555555555558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1.25" customHeight="1" x14ac:dyDescent="0.4">
      <c r="A91" s="17"/>
      <c r="B91" s="17" t="s">
        <v>309</v>
      </c>
      <c r="C91" s="17">
        <f>SUM(P302Allocated,  P303Allocated,  P304Allocated, P308Allocated,  P309Allocated, P310Allocated)</f>
        <v>7</v>
      </c>
      <c r="D91" s="54">
        <f>SUM('By Lot - West Campus'!F390:F395,'By Lot - West Campus'!F407:F412,'By Lot - West Campus'!F424:F429,'By Lot - West Campus'!F458:F463,'By Lot - West Campus'!F475:F480,'By Lot - West Campus'!F492:F497)</f>
        <v>5</v>
      </c>
      <c r="E91" s="58">
        <f>SUM('By Lot - West Campus'!G390:G395,'By Lot - West Campus'!G407:G412,'By Lot - West Campus'!G424:G429,'By Lot - West Campus'!G458:G463,'By Lot - West Campus'!G475:G480,'By Lot - West Campus'!G492:G497)</f>
        <v>4</v>
      </c>
      <c r="F91" s="58">
        <f>SUM('By Lot - West Campus'!H390:H395,'By Lot - West Campus'!H407:H412,'By Lot - West Campus'!H424:H429,'By Lot - West Campus'!H458:H463,'By Lot - West Campus'!H475:H480,'By Lot - West Campus'!H492:H497)</f>
        <v>4</v>
      </c>
      <c r="G91" s="58">
        <f>SUM('By Lot - West Campus'!I390:I395,'By Lot - West Campus'!I407:I412,'By Lot - West Campus'!I424:I429,'By Lot - West Campus'!I458:I463,'By Lot - West Campus'!I475:I480,'By Lot - West Campus'!I492:I497)</f>
        <v>4</v>
      </c>
      <c r="H91" s="58">
        <f>SUM('By Lot - West Campus'!J390:J395,'By Lot - West Campus'!J407:J412,'By Lot - West Campus'!J424:J429,'By Lot - West Campus'!J458:J463,'By Lot - West Campus'!J475:J480,'By Lot - West Campus'!J492:J497)</f>
        <v>5</v>
      </c>
      <c r="I91" s="58">
        <f>SUM('By Lot - West Campus'!K390:K395,'By Lot - West Campus'!K407:K412,'By Lot - West Campus'!K424:K429,'By Lot - West Campus'!K458:K463,'By Lot - West Campus'!K475:K480,'By Lot - West Campus'!K492:K497)</f>
        <v>5</v>
      </c>
      <c r="J91" s="58">
        <f>SUM('By Lot - West Campus'!L390:L395,'By Lot - West Campus'!L407:L412,'By Lot - West Campus'!L424:L429,'By Lot - West Campus'!L458:L463,'By Lot - West Campus'!L475:L480,'By Lot - West Campus'!L492:L497)</f>
        <v>5</v>
      </c>
      <c r="K91" s="58">
        <f>SUM('By Lot - West Campus'!M390:M395,'By Lot - West Campus'!M407:M412,'By Lot - West Campus'!M424:M429,'By Lot - West Campus'!M458:M463,'By Lot - West Campus'!M475:M480,'By Lot - West Campus'!M492:M497)</f>
        <v>6</v>
      </c>
      <c r="L91" s="58">
        <f>SUM('By Lot - West Campus'!N390:N395,'By Lot - West Campus'!N407:N412,'By Lot - West Campus'!N424:N429,'By Lot - West Campus'!N458:N463,'By Lot - West Campus'!N475:N480,'By Lot - West Campus'!N492:N497)</f>
        <v>6</v>
      </c>
      <c r="M91" s="60">
        <f>SUM('By Lot - West Campus'!O390:O395,'By Lot - West Campus'!O407:O412,'By Lot - West Campus'!O424:O429,'By Lot - West Campus'!O458:O463,'By Lot - West Campus'!O475:O480,'By Lot - West Campus'!O492:O497)</f>
        <v>5</v>
      </c>
      <c r="N91" s="54">
        <f t="shared" si="35"/>
        <v>4</v>
      </c>
      <c r="O91" s="58">
        <f t="shared" si="36"/>
        <v>3</v>
      </c>
      <c r="P91" s="59">
        <f t="shared" si="37"/>
        <v>0.42857142857142855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1.25" customHeight="1" x14ac:dyDescent="0.4">
      <c r="A92" s="17"/>
      <c r="B92" s="17" t="s">
        <v>310</v>
      </c>
      <c r="C92" s="17">
        <f>SUM(P302Accessible,  P303Accessible,  P304Accessible, P308Accessible,  P309Accessible, P310Accessible)</f>
        <v>27</v>
      </c>
      <c r="D92" s="54">
        <f>SUM('By Lot - West Campus'!F396,'By Lot - West Campus'!F413,'By Lot - West Campus'!F430,'By Lot - West Campus'!F464,'By Lot - West Campus'!F481,'By Lot - West Campus'!F498)</f>
        <v>20</v>
      </c>
      <c r="E92" s="58">
        <f>SUM('By Lot - West Campus'!G396,'By Lot - West Campus'!G413,'By Lot - West Campus'!G430,'By Lot - West Campus'!G464,'By Lot - West Campus'!G481,'By Lot - West Campus'!G498)</f>
        <v>20</v>
      </c>
      <c r="F92" s="58">
        <f>SUM('By Lot - West Campus'!H396,'By Lot - West Campus'!H413,'By Lot - West Campus'!H430,'By Lot - West Campus'!H464,'By Lot - West Campus'!H481,'By Lot - West Campus'!H498)</f>
        <v>20</v>
      </c>
      <c r="G92" s="58">
        <f>SUM('By Lot - West Campus'!I396,'By Lot - West Campus'!I413,'By Lot - West Campus'!I430,'By Lot - West Campus'!I464,'By Lot - West Campus'!I481,'By Lot - West Campus'!I498)</f>
        <v>18</v>
      </c>
      <c r="H92" s="58">
        <f>SUM('By Lot - West Campus'!J396,'By Lot - West Campus'!J413,'By Lot - West Campus'!J430,'By Lot - West Campus'!J464,'By Lot - West Campus'!J481,'By Lot - West Campus'!J498)</f>
        <v>14</v>
      </c>
      <c r="I92" s="58">
        <f>SUM('By Lot - West Campus'!K396,'By Lot - West Campus'!K413,'By Lot - West Campus'!K430,'By Lot - West Campus'!K464,'By Lot - West Campus'!K481,'By Lot - West Campus'!K498)</f>
        <v>19</v>
      </c>
      <c r="J92" s="58">
        <f>SUM('By Lot - West Campus'!L396,'By Lot - West Campus'!L413,'By Lot - West Campus'!L430,'By Lot - West Campus'!L464,'By Lot - West Campus'!L481,'By Lot - West Campus'!L498)</f>
        <v>20</v>
      </c>
      <c r="K92" s="58">
        <f>SUM('By Lot - West Campus'!M396,'By Lot - West Campus'!M413,'By Lot - West Campus'!M430,'By Lot - West Campus'!M464,'By Lot - West Campus'!M481,'By Lot - West Campus'!M498)</f>
        <v>22</v>
      </c>
      <c r="L92" s="58">
        <f>SUM('By Lot - West Campus'!N396,'By Lot - West Campus'!N413,'By Lot - West Campus'!N430,'By Lot - West Campus'!N464,'By Lot - West Campus'!N481,'By Lot - West Campus'!N498)</f>
        <v>25</v>
      </c>
      <c r="M92" s="60">
        <f>SUM('By Lot - West Campus'!O396,'By Lot - West Campus'!O413,'By Lot - West Campus'!O430,'By Lot - West Campus'!O464,'By Lot - West Campus'!O481,'By Lot - West Campus'!O498)</f>
        <v>22</v>
      </c>
      <c r="N92" s="54">
        <f t="shared" si="35"/>
        <v>14</v>
      </c>
      <c r="O92" s="58">
        <f t="shared" si="36"/>
        <v>13</v>
      </c>
      <c r="P92" s="59">
        <f t="shared" si="37"/>
        <v>0.48148148148148145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1.25" customHeight="1" x14ac:dyDescent="0.4">
      <c r="A93" s="17"/>
      <c r="B93" s="17" t="s">
        <v>311</v>
      </c>
      <c r="C93" s="17"/>
      <c r="D93" s="32"/>
      <c r="E93" s="6"/>
      <c r="F93" s="6"/>
      <c r="G93" s="6"/>
      <c r="H93" s="6"/>
      <c r="I93" s="6"/>
      <c r="J93" s="6"/>
      <c r="K93" s="6"/>
      <c r="L93" s="6"/>
      <c r="M93" s="31"/>
      <c r="N93" s="32"/>
      <c r="O93" s="6"/>
      <c r="P93" s="59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1.25" customHeight="1" x14ac:dyDescent="0.4">
      <c r="A94" s="17"/>
      <c r="B94" s="17" t="s">
        <v>312</v>
      </c>
      <c r="C94" s="17">
        <f>SUM(P302Service_Yard,  P303Service_Yard,  P304Service_Yard, P308Service_Yard,  P309Service_Yard, P310Service_Yard)</f>
        <v>7</v>
      </c>
      <c r="D94" s="32">
        <f>SUM('By Lot - West Campus'!F398,'By Lot - West Campus'!F415,'By Lot - West Campus'!F432,'By Lot - West Campus'!F466,'By Lot - West Campus'!F483,'By Lot - West Campus'!F500)</f>
        <v>3</v>
      </c>
      <c r="E94" s="6">
        <f>SUM('By Lot - West Campus'!G398,'By Lot - West Campus'!G415,'By Lot - West Campus'!G432,'By Lot - West Campus'!G466,'By Lot - West Campus'!G483,'By Lot - West Campus'!G500)</f>
        <v>5</v>
      </c>
      <c r="F94" s="6">
        <f>SUM('By Lot - West Campus'!H398,'By Lot - West Campus'!H415,'By Lot - West Campus'!H432,'By Lot - West Campus'!H466,'By Lot - West Campus'!H483,'By Lot - West Campus'!H500)</f>
        <v>4</v>
      </c>
      <c r="G94" s="6">
        <f>SUM('By Lot - West Campus'!I398,'By Lot - West Campus'!I415,'By Lot - West Campus'!I432,'By Lot - West Campus'!I466,'By Lot - West Campus'!I483,'By Lot - West Campus'!I500)</f>
        <v>3</v>
      </c>
      <c r="H94" s="6">
        <f>SUM('By Lot - West Campus'!J398,'By Lot - West Campus'!J415,'By Lot - West Campus'!J432,'By Lot - West Campus'!J466,'By Lot - West Campus'!J483,'By Lot - West Campus'!J500)</f>
        <v>3</v>
      </c>
      <c r="I94" s="6">
        <f>SUM('By Lot - West Campus'!K398,'By Lot - West Campus'!K415,'By Lot - West Campus'!K432,'By Lot - West Campus'!K466,'By Lot - West Campus'!K483,'By Lot - West Campus'!K500)</f>
        <v>3</v>
      </c>
      <c r="J94" s="6">
        <f>SUM('By Lot - West Campus'!L398,'By Lot - West Campus'!L415,'By Lot - West Campus'!L432,'By Lot - West Campus'!L466,'By Lot - West Campus'!L483,'By Lot - West Campus'!L500)</f>
        <v>2</v>
      </c>
      <c r="K94" s="6">
        <f>SUM('By Lot - West Campus'!M398,'By Lot - West Campus'!M415,'By Lot - West Campus'!M432,'By Lot - West Campus'!M466,'By Lot - West Campus'!M483,'By Lot - West Campus'!M500)</f>
        <v>2</v>
      </c>
      <c r="L94" s="6">
        <f>SUM('By Lot - West Campus'!N398,'By Lot - West Campus'!N415,'By Lot - West Campus'!N432,'By Lot - West Campus'!N466,'By Lot - West Campus'!N483,'By Lot - West Campus'!N500)</f>
        <v>6</v>
      </c>
      <c r="M94" s="31">
        <f>SUM('By Lot - West Campus'!O398,'By Lot - West Campus'!O415,'By Lot - West Campus'!O432,'By Lot - West Campus'!O466,'By Lot - West Campus'!O483,'By Lot - West Campus'!O500)</f>
        <v>7</v>
      </c>
      <c r="N94" s="32">
        <f t="shared" ref="N94:N110" si="38">MIN(D94:M94)</f>
        <v>2</v>
      </c>
      <c r="O94" s="6">
        <f t="shared" ref="O94:O110" si="39">C94-N94</f>
        <v>5</v>
      </c>
      <c r="P94" s="59">
        <f t="shared" ref="P94:P110" si="40">O94/C94</f>
        <v>0.7142857142857143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1.25" customHeight="1" x14ac:dyDescent="0.4">
      <c r="A95" s="17"/>
      <c r="B95" s="17" t="s">
        <v>313</v>
      </c>
      <c r="C95" s="17">
        <f>SUM(P302Loading,  P303Loading,  P304Loading, P308Loading,  P309Loading, P310Loading)</f>
        <v>10</v>
      </c>
      <c r="D95" s="32">
        <f>SUM('By Lot - West Campus'!F399,'By Lot - West Campus'!F416,'By Lot - West Campus'!F433,'By Lot - West Campus'!F467,'By Lot - West Campus'!F484,'By Lot - West Campus'!F501)</f>
        <v>8</v>
      </c>
      <c r="E95" s="6">
        <f>SUM('By Lot - West Campus'!G399,'By Lot - West Campus'!G416,'By Lot - West Campus'!G433,'By Lot - West Campus'!G467,'By Lot - West Campus'!G484,'By Lot - West Campus'!G501)</f>
        <v>8</v>
      </c>
      <c r="F95" s="6">
        <f>SUM('By Lot - West Campus'!H399,'By Lot - West Campus'!H416,'By Lot - West Campus'!H433,'By Lot - West Campus'!H467,'By Lot - West Campus'!H484,'By Lot - West Campus'!H501)</f>
        <v>9</v>
      </c>
      <c r="G95" s="6">
        <f>SUM('By Lot - West Campus'!I399,'By Lot - West Campus'!I416,'By Lot - West Campus'!I433,'By Lot - West Campus'!I467,'By Lot - West Campus'!I484,'By Lot - West Campus'!I501)</f>
        <v>9</v>
      </c>
      <c r="H95" s="6">
        <f>SUM('By Lot - West Campus'!J399,'By Lot - West Campus'!J416,'By Lot - West Campus'!J433,'By Lot - West Campus'!J467,'By Lot - West Campus'!J484,'By Lot - West Campus'!J501)</f>
        <v>6</v>
      </c>
      <c r="I95" s="6">
        <f>SUM('By Lot - West Campus'!K399,'By Lot - West Campus'!K416,'By Lot - West Campus'!K433,'By Lot - West Campus'!K467,'By Lot - West Campus'!K484,'By Lot - West Campus'!K501)</f>
        <v>7</v>
      </c>
      <c r="J95" s="6">
        <f>SUM('By Lot - West Campus'!L399,'By Lot - West Campus'!L416,'By Lot - West Campus'!L433,'By Lot - West Campus'!L467,'By Lot - West Campus'!L484,'By Lot - West Campus'!L501)</f>
        <v>7</v>
      </c>
      <c r="K95" s="6">
        <f>SUM('By Lot - West Campus'!M399,'By Lot - West Campus'!M416,'By Lot - West Campus'!M433,'By Lot - West Campus'!M467,'By Lot - West Campus'!M484,'By Lot - West Campus'!M501)</f>
        <v>9</v>
      </c>
      <c r="L95" s="6">
        <f>SUM('By Lot - West Campus'!N399,'By Lot - West Campus'!N416,'By Lot - West Campus'!N433,'By Lot - West Campus'!N467,'By Lot - West Campus'!N484,'By Lot - West Campus'!N501)</f>
        <v>10</v>
      </c>
      <c r="M95" s="31">
        <f>SUM('By Lot - West Campus'!O399,'By Lot - West Campus'!O416,'By Lot - West Campus'!O433,'By Lot - West Campus'!O467,'By Lot - West Campus'!O484,'By Lot - West Campus'!O501)</f>
        <v>9</v>
      </c>
      <c r="N95" s="32">
        <f t="shared" si="38"/>
        <v>6</v>
      </c>
      <c r="O95" s="6">
        <f t="shared" si="39"/>
        <v>4</v>
      </c>
      <c r="P95" s="59">
        <f t="shared" si="40"/>
        <v>0.4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1.25" customHeight="1" x14ac:dyDescent="0.4">
      <c r="A96" s="34"/>
      <c r="B96" s="65" t="s">
        <v>314</v>
      </c>
      <c r="C96" s="65">
        <f t="shared" ref="C96:M96" si="41">SUM(C86:C95)</f>
        <v>477</v>
      </c>
      <c r="D96" s="70">
        <f t="shared" si="41"/>
        <v>234</v>
      </c>
      <c r="E96" s="71">
        <f t="shared" si="41"/>
        <v>52</v>
      </c>
      <c r="F96" s="71">
        <f t="shared" si="41"/>
        <v>45</v>
      </c>
      <c r="G96" s="71">
        <f t="shared" si="41"/>
        <v>43</v>
      </c>
      <c r="H96" s="71">
        <f t="shared" si="41"/>
        <v>33</v>
      </c>
      <c r="I96" s="71">
        <f t="shared" si="41"/>
        <v>58</v>
      </c>
      <c r="J96" s="71">
        <f t="shared" si="41"/>
        <v>63</v>
      </c>
      <c r="K96" s="71">
        <f t="shared" si="41"/>
        <v>79</v>
      </c>
      <c r="L96" s="71">
        <f t="shared" si="41"/>
        <v>219</v>
      </c>
      <c r="M96" s="157">
        <f t="shared" si="41"/>
        <v>257</v>
      </c>
      <c r="N96" s="70">
        <f t="shared" si="38"/>
        <v>33</v>
      </c>
      <c r="O96" s="71">
        <f t="shared" si="39"/>
        <v>444</v>
      </c>
      <c r="P96" s="72">
        <f t="shared" si="40"/>
        <v>0.9308176100628931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1.25" customHeight="1" x14ac:dyDescent="0.4">
      <c r="A97" s="73" t="s">
        <v>22</v>
      </c>
      <c r="B97" s="17" t="s">
        <v>300</v>
      </c>
      <c r="C97" s="17">
        <f>SUM('By Lot - West Campus'!E435,
'By Structure'!C18,
'By Lot - West Campus'!E656,
'By Lot - West Campus'!E673,
'By Structure'!C30)</f>
        <v>317</v>
      </c>
      <c r="D97" s="54">
        <f>SUM('By Lot - West Campus'!F435,'By Structure'!D18,'By Lot - West Campus'!F656,'By Lot - West Campus'!F673,'By Structure'!D30)</f>
        <v>229</v>
      </c>
      <c r="E97" s="58">
        <f>SUM('By Lot - West Campus'!G435,'By Structure'!E18,'By Lot - West Campus'!G656,'By Lot - West Campus'!G673,'By Structure'!E30)</f>
        <v>177</v>
      </c>
      <c r="F97" s="58">
        <f>SUM('By Lot - West Campus'!H435,'By Structure'!F18,'By Lot - West Campus'!H656,'By Lot - West Campus'!H673,'By Structure'!F30)</f>
        <v>131</v>
      </c>
      <c r="G97" s="58">
        <f>SUM('By Lot - West Campus'!I435,'By Structure'!G18,'By Lot - West Campus'!I656,'By Lot - West Campus'!I673,'By Structure'!G30)</f>
        <v>105</v>
      </c>
      <c r="H97" s="58">
        <f>SUM('By Lot - West Campus'!J435,'By Structure'!H18,'By Lot - West Campus'!J656,'By Lot - West Campus'!J673,'By Structure'!H30)</f>
        <v>45</v>
      </c>
      <c r="I97" s="58">
        <f>SUM('By Lot - West Campus'!K435,'By Structure'!I18,'By Lot - West Campus'!K656,'By Lot - West Campus'!K673,'By Structure'!I30)</f>
        <v>50</v>
      </c>
      <c r="J97" s="58">
        <f>SUM('By Lot - West Campus'!L435,'By Structure'!J18,'By Lot - West Campus'!L656,'By Lot - West Campus'!L673,'By Structure'!J30)</f>
        <v>60</v>
      </c>
      <c r="K97" s="58">
        <f>SUM('By Lot - West Campus'!M435,'By Structure'!K18,'By Lot - West Campus'!M656,'By Lot - West Campus'!M673,'By Structure'!K30)</f>
        <v>131</v>
      </c>
      <c r="L97" s="58">
        <f>SUM('By Lot - West Campus'!N435,'By Structure'!L18,'By Lot - West Campus'!N656,'By Lot - West Campus'!N673,'By Structure'!L30)</f>
        <v>213</v>
      </c>
      <c r="M97" s="31">
        <f>SUM('By Lot - West Campus'!O435,'By Structure'!M18,'By Lot - West Campus'!O656,'By Lot - West Campus'!O673,'By Structure'!M30)</f>
        <v>237</v>
      </c>
      <c r="N97" s="54">
        <f t="shared" si="38"/>
        <v>45</v>
      </c>
      <c r="O97" s="58">
        <f t="shared" si="39"/>
        <v>272</v>
      </c>
      <c r="P97" s="59">
        <f t="shared" si="40"/>
        <v>0.85804416403785488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1.25" customHeight="1" x14ac:dyDescent="0.4">
      <c r="A98" s="32" t="s">
        <v>33</v>
      </c>
      <c r="B98" s="17" t="s">
        <v>301</v>
      </c>
      <c r="C98" s="17">
        <f>SUM('By Lot - West Campus'!E436,
'By Structure'!C19,
'By Lot - West Campus'!E657,
'By Lot - West Campus'!E674,
'By Structure'!C31)</f>
        <v>932</v>
      </c>
      <c r="D98" s="54">
        <f>SUM('By Lot - West Campus'!F436,'By Structure'!D19,'By Lot - West Campus'!F657,'By Lot - West Campus'!F674,'By Structure'!D31)</f>
        <v>677</v>
      </c>
      <c r="E98" s="58">
        <f>SUM('By Lot - West Campus'!G436,'By Structure'!E19,'By Lot - West Campus'!G657,'By Lot - West Campus'!G674,'By Structure'!E31)</f>
        <v>496</v>
      </c>
      <c r="F98" s="58">
        <f>SUM('By Lot - West Campus'!H436,'By Structure'!F19,'By Lot - West Campus'!H657,'By Lot - West Campus'!H674,'By Structure'!F31)</f>
        <v>137</v>
      </c>
      <c r="G98" s="58">
        <f>SUM('By Lot - West Campus'!I436,'By Structure'!G19,'By Lot - West Campus'!I657,'By Lot - West Campus'!I674,'By Structure'!G31)</f>
        <v>6</v>
      </c>
      <c r="H98" s="58">
        <f>SUM('By Lot - West Campus'!J436,'By Structure'!H19,'By Lot - West Campus'!J657,'By Lot - West Campus'!J674,'By Structure'!H31)</f>
        <v>9</v>
      </c>
      <c r="I98" s="58">
        <f>SUM('By Lot - West Campus'!K436,'By Structure'!I19,'By Lot - West Campus'!K657,'By Lot - West Campus'!K674,'By Structure'!I31)</f>
        <v>7</v>
      </c>
      <c r="J98" s="58">
        <f>SUM('By Lot - West Campus'!L436,'By Structure'!J19,'By Lot - West Campus'!L657,'By Lot - West Campus'!L674,'By Structure'!J31)</f>
        <v>27</v>
      </c>
      <c r="K98" s="58">
        <f>SUM('By Lot - West Campus'!M436,'By Structure'!K19,'By Lot - West Campus'!M657,'By Lot - West Campus'!M674,'By Structure'!K31)</f>
        <v>432</v>
      </c>
      <c r="L98" s="58">
        <f>SUM('By Lot - West Campus'!N436,'By Structure'!L19,'By Lot - West Campus'!N657,'By Lot - West Campus'!N674,'By Structure'!L31)</f>
        <v>661</v>
      </c>
      <c r="M98" s="31">
        <f>SUM('By Lot - West Campus'!O436,'By Structure'!M19,'By Lot - West Campus'!O657,'By Lot - West Campus'!O674,'By Structure'!M31)</f>
        <v>760</v>
      </c>
      <c r="N98" s="54">
        <f t="shared" si="38"/>
        <v>6</v>
      </c>
      <c r="O98" s="58">
        <f t="shared" si="39"/>
        <v>926</v>
      </c>
      <c r="P98" s="59">
        <f t="shared" si="40"/>
        <v>0.99356223175965663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1.25" customHeight="1" x14ac:dyDescent="0.4">
      <c r="A99" s="32"/>
      <c r="B99" s="17" t="s">
        <v>303</v>
      </c>
      <c r="C99" s="17">
        <f>SUM('By Lot - West Campus'!E437,
'By Structure'!C20,
'By Lot - West Campus'!E658,
'By Lot - West Campus'!E675,
'By Structure'!C32)</f>
        <v>510</v>
      </c>
      <c r="D99" s="54">
        <f>SUM('By Lot - West Campus'!F437,
'By Structure'!D20,
'By Lot - West Campus'!F658,
'By Lot - West Campus'!F675,
'By Structure'!D32)</f>
        <v>3</v>
      </c>
      <c r="E99" s="58">
        <f>SUM('By Lot - West Campus'!G437,
'By Structure'!E20,
'By Lot - West Campus'!G658,
'By Lot - West Campus'!G675,
'By Structure'!E32)</f>
        <v>0</v>
      </c>
      <c r="F99" s="58">
        <f>SUM('By Lot - West Campus'!H437,
'By Structure'!F20,
'By Lot - West Campus'!H658,
'By Lot - West Campus'!H675,
'By Structure'!F32)</f>
        <v>0</v>
      </c>
      <c r="G99" s="58">
        <f>SUM('By Lot - West Campus'!I437,
'By Structure'!G20,
'By Lot - West Campus'!I658,
'By Lot - West Campus'!I675,
'By Structure'!G32)</f>
        <v>0</v>
      </c>
      <c r="H99" s="58">
        <f>SUM('By Lot - West Campus'!J437,
'By Structure'!H20,
'By Lot - West Campus'!J658,
'By Lot - West Campus'!J675,
'By Structure'!H32)</f>
        <v>0</v>
      </c>
      <c r="I99" s="58">
        <f>SUM('By Lot - West Campus'!K437,
'By Structure'!I20,
'By Lot - West Campus'!K658,
'By Lot - West Campus'!K675,
'By Structure'!I32)</f>
        <v>0</v>
      </c>
      <c r="J99" s="58">
        <f>SUM('By Lot - West Campus'!L437,
'By Structure'!J20,
'By Lot - West Campus'!L658,
'By Lot - West Campus'!L675,
'By Structure'!J32)</f>
        <v>0</v>
      </c>
      <c r="K99" s="58">
        <f>SUM('By Lot - West Campus'!M437,
'By Structure'!K20,
'By Lot - West Campus'!M658,
'By Lot - West Campus'!M675,
'By Structure'!K32)</f>
        <v>4</v>
      </c>
      <c r="L99" s="58">
        <f>SUM('By Lot - West Campus'!N437,
'By Structure'!L20,
'By Lot - West Campus'!N658,
'By Lot - West Campus'!N675,
'By Structure'!L32)</f>
        <v>7</v>
      </c>
      <c r="M99" s="31">
        <f>SUM('By Lot - West Campus'!O437,
'By Structure'!M20,
'By Lot - West Campus'!O658,
'By Lot - West Campus'!O675,
'By Structure'!M32)</f>
        <v>19</v>
      </c>
      <c r="N99" s="54">
        <f t="shared" si="38"/>
        <v>0</v>
      </c>
      <c r="O99" s="58">
        <f t="shared" si="39"/>
        <v>510</v>
      </c>
      <c r="P99" s="59">
        <f t="shared" si="40"/>
        <v>1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1.25" customHeight="1" x14ac:dyDescent="0.4">
      <c r="A100" s="158" t="s">
        <v>338</v>
      </c>
      <c r="B100" s="17" t="s">
        <v>305</v>
      </c>
      <c r="C100" s="17">
        <f>'By Structure'!C21</f>
        <v>228</v>
      </c>
      <c r="D100" s="54">
        <f>'By Structure'!D21</f>
        <v>0</v>
      </c>
      <c r="E100" s="58">
        <f>'By Structure'!E21</f>
        <v>0</v>
      </c>
      <c r="F100" s="58">
        <f>'By Structure'!F21</f>
        <v>0</v>
      </c>
      <c r="G100" s="58">
        <f>'By Structure'!G21</f>
        <v>0</v>
      </c>
      <c r="H100" s="58">
        <f>'By Structure'!H21</f>
        <v>0</v>
      </c>
      <c r="I100" s="58">
        <f>'By Structure'!I21</f>
        <v>0</v>
      </c>
      <c r="J100" s="58">
        <f>'By Structure'!J21</f>
        <v>0</v>
      </c>
      <c r="K100" s="58">
        <f>'By Structure'!K21</f>
        <v>3</v>
      </c>
      <c r="L100" s="58">
        <f>'By Structure'!L21</f>
        <v>1</v>
      </c>
      <c r="M100" s="60">
        <f>'By Structure'!M21</f>
        <v>0</v>
      </c>
      <c r="N100" s="54">
        <f t="shared" si="38"/>
        <v>0</v>
      </c>
      <c r="O100" s="58">
        <f t="shared" si="39"/>
        <v>228</v>
      </c>
      <c r="P100" s="59">
        <f t="shared" si="40"/>
        <v>1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1.25" customHeight="1" x14ac:dyDescent="0.4">
      <c r="A101" s="158" t="s">
        <v>339</v>
      </c>
      <c r="B101" s="17" t="s">
        <v>307</v>
      </c>
      <c r="C101" s="17">
        <f>SUM('By Lot - West Campus'!E438:E439,
 'By Structure'!C22,
'By Lot - West Campus'!E659:E660,'By Lot - West Campus'!E676:E677,
 'By Structure'!C33)</f>
        <v>166</v>
      </c>
      <c r="D101" s="54">
        <f>SUM('By Lot - West Campus'!F438:F439,'By Lot - West Campus'!F507:F508,'By Lot - West Campus'!F524:F525,'By Lot - West Campus'!F540:F541,
'By Lot - West Campus'!F557:F558,'By Lot - West Campus'!F574:F575,'By Lot - West Campus'!F591:F592,'By Lot - West Campus'!F608:F609,
'By Lot - West Campus'!F659:F660,'By Lot - West Campus'!F676:F677,'By Lot - West Campus'!F744:F745,'By Lot - West Campus'!F761:F762,
'By Lot - West Campus'!F778:F779,'By Lot - West Campus'!F795:F796,'By Lot - West Campus'!F812:F813,'By Lot - West Campus'!F829:F830)</f>
        <v>133</v>
      </c>
      <c r="E101" s="58">
        <f>SUM('By Lot - West Campus'!G438:G439,'By Lot - West Campus'!G507:G508,'By Lot - West Campus'!G524:G525,'By Lot - West Campus'!G540:G541,
'By Lot - West Campus'!G557:G558,'By Lot - West Campus'!G574:G575,'By Lot - West Campus'!G591:G592,'By Lot - West Campus'!G608:G609,
'By Lot - West Campus'!G659:G660,'By Lot - West Campus'!G676:G677,'By Lot - West Campus'!G744:G745,'By Lot - West Campus'!G761:G762,
'By Lot - West Campus'!G778:G779,'By Lot - West Campus'!G795:G796,'By Lot - West Campus'!G812:G813,'By Lot - West Campus'!G829:G830)</f>
        <v>82</v>
      </c>
      <c r="F101" s="58">
        <f>SUM('By Lot - West Campus'!H438:H439,'By Lot - West Campus'!H507:H508,'By Lot - West Campus'!H524:H525,'By Lot - West Campus'!H540:H541,
'By Lot - West Campus'!H557:H558,'By Lot - West Campus'!H574:H575,'By Lot - West Campus'!H591:H592,'By Lot - West Campus'!H608:H609,
'By Lot - West Campus'!H659:H660,'By Lot - West Campus'!H676:H677,'By Lot - West Campus'!H744:H745,'By Lot - West Campus'!H761:H762,
'By Lot - West Campus'!H778:H779,'By Lot - West Campus'!H795:H796,'By Lot - West Campus'!H812:H813,'By Lot - West Campus'!H829:H830)</f>
        <v>16</v>
      </c>
      <c r="G101" s="58">
        <f>SUM('By Lot - West Campus'!I438:I439,'By Lot - West Campus'!I507:I508,'By Lot - West Campus'!I524:I525,'By Lot - West Campus'!I540:I541,
'By Lot - West Campus'!I557:I558,'By Lot - West Campus'!I574:I575,'By Lot - West Campus'!I591:I592,'By Lot - West Campus'!I608:I609,
'By Lot - West Campus'!I659:I660,'By Lot - West Campus'!I676:I677,'By Lot - West Campus'!I744:I745,'By Lot - West Campus'!I761:I762,
'By Lot - West Campus'!I778:I779,'By Lot - West Campus'!I795:I796,'By Lot - West Campus'!I812:I813,'By Lot - West Campus'!I829:I830)</f>
        <v>7</v>
      </c>
      <c r="H101" s="58">
        <f>SUM('By Lot - West Campus'!J438:J439,'By Lot - West Campus'!J507:J508,'By Lot - West Campus'!J524:J525,'By Lot - West Campus'!J540:J541,
'By Lot - West Campus'!J557:J558,'By Lot - West Campus'!J574:J575,'By Lot - West Campus'!J591:J592,'By Lot - West Campus'!J608:J609,
'By Lot - West Campus'!J659:J660,'By Lot - West Campus'!J676:J677,'By Lot - West Campus'!J744:J745,'By Lot - West Campus'!J761:J762,
'By Lot - West Campus'!J778:J779,'By Lot - West Campus'!J795:J796,'By Lot - West Campus'!J812:J813,'By Lot - West Campus'!J829:J830)</f>
        <v>2</v>
      </c>
      <c r="I101" s="58">
        <f>SUM('By Lot - West Campus'!K438:K439,'By Lot - West Campus'!K507:K508,'By Lot - West Campus'!K524:K525,'By Lot - West Campus'!K540:K541,
'By Lot - West Campus'!K557:K558,'By Lot - West Campus'!K574:K575,'By Lot - West Campus'!K591:K592,'By Lot - West Campus'!K608:K609,
'By Lot - West Campus'!K659:K660,'By Lot - West Campus'!K676:K677,'By Lot - West Campus'!K744:K745,'By Lot - West Campus'!K761:K762,
'By Lot - West Campus'!K778:K779,'By Lot - West Campus'!K795:K796,'By Lot - West Campus'!K812:K813,'By Lot - West Campus'!K829:K830)</f>
        <v>2</v>
      </c>
      <c r="J101" s="58">
        <f>SUM('By Lot - West Campus'!L438:L439,'By Lot - West Campus'!L507:L508,'By Lot - West Campus'!L524:L525,'By Lot - West Campus'!L540:L541,
'By Lot - West Campus'!L557:L558,'By Lot - West Campus'!L574:L575,'By Lot - West Campus'!L591:L592,'By Lot - West Campus'!L608:L609,
'By Lot - West Campus'!L659:L660,'By Lot - West Campus'!L676:L677,'By Lot - West Campus'!L744:L745,'By Lot - West Campus'!L761:L762,
'By Lot - West Campus'!L778:L779,'By Lot - West Campus'!L795:L796,'By Lot - West Campus'!L812:L813,'By Lot - West Campus'!L829:L830)</f>
        <v>4</v>
      </c>
      <c r="K101" s="58">
        <f>SUM('By Lot - West Campus'!M438:M439,'By Lot - West Campus'!M507:M508,'By Lot - West Campus'!M524:M525,'By Lot - West Campus'!M540:M541,
'By Lot - West Campus'!M557:M558,'By Lot - West Campus'!M574:M575,'By Lot - West Campus'!M591:M592,'By Lot - West Campus'!M608:M609,
'By Lot - West Campus'!M659:M660,'By Lot - West Campus'!M676:M677,'By Lot - West Campus'!M744:M745,'By Lot - West Campus'!M761:M762,
'By Lot - West Campus'!M778:M779,'By Lot - West Campus'!M795:M796,'By Lot - West Campus'!M812:M813,'By Lot - West Campus'!M829:M830)</f>
        <v>10</v>
      </c>
      <c r="L101" s="58">
        <f>SUM('By Lot - West Campus'!N438:N439,'By Lot - West Campus'!N507:N508,'By Lot - West Campus'!N524:N525,'By Lot - West Campus'!N540:N541,
'By Lot - West Campus'!N557:N558,'By Lot - West Campus'!N574:N575,'By Lot - West Campus'!N591:N592,'By Lot - West Campus'!N608:N609,
'By Lot - West Campus'!N659:N660,'By Lot - West Campus'!N676:N677,'By Lot - West Campus'!N744:N745,'By Lot - West Campus'!N761:N762,
'By Lot - West Campus'!N778:N779,'By Lot - West Campus'!N795:N796,'By Lot - West Campus'!N812:N813,'By Lot - West Campus'!N829:N830)</f>
        <v>27</v>
      </c>
      <c r="M101" s="60">
        <f>SUM('By Lot - West Campus'!O438:O439,'By Lot - West Campus'!O507:O508,'By Lot - West Campus'!O524:O525,'By Lot - West Campus'!O540:O541,
'By Lot - West Campus'!O557:O558,'By Lot - West Campus'!O574:O575,'By Lot - West Campus'!O591:O592,'By Lot - West Campus'!O608:O609,
'By Lot - West Campus'!O659:O660,'By Lot - West Campus'!O676:O677,'By Lot - West Campus'!O744:O745,'By Lot - West Campus'!O761:O762,
'By Lot - West Campus'!O778:O779,'By Lot - West Campus'!O795:O796,'By Lot - West Campus'!O812:O813,'By Lot - West Campus'!O829:O830)</f>
        <v>87</v>
      </c>
      <c r="N101" s="54">
        <f t="shared" si="38"/>
        <v>2</v>
      </c>
      <c r="O101" s="58">
        <f t="shared" si="39"/>
        <v>164</v>
      </c>
      <c r="P101" s="59">
        <f t="shared" si="40"/>
        <v>0.98795180722891562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1.25" customHeight="1" x14ac:dyDescent="0.4">
      <c r="A102" s="158" t="s">
        <v>340</v>
      </c>
      <c r="B102" s="17" t="s">
        <v>308</v>
      </c>
      <c r="C102" s="17">
        <f>SUM('By Lot - West Campus'!E440,'By Structure'!C23,'By Lot - West Campus'!E661,'By Lot - West Campus'!E678,'By Structure'!C34)</f>
        <v>26</v>
      </c>
      <c r="D102" s="54">
        <f>SUM('By Lot - West Campus'!F440,'By Structure'!D23,'By Lot - West Campus'!F661,'By Lot - West Campus'!F678,'By Structure'!D34)</f>
        <v>18</v>
      </c>
      <c r="E102" s="58">
        <f>SUM('By Lot - West Campus'!G440,'By Structure'!E23,'By Lot - West Campus'!G661,'By Lot - West Campus'!G678,'By Structure'!E34)</f>
        <v>17</v>
      </c>
      <c r="F102" s="58">
        <f>SUM('By Lot - West Campus'!H440,'By Structure'!F23,'By Lot - West Campus'!H661,'By Lot - West Campus'!H678,'By Structure'!F34)</f>
        <v>16</v>
      </c>
      <c r="G102" s="58">
        <f>SUM('By Lot - West Campus'!I440,'By Structure'!G23,'By Lot - West Campus'!I661,'By Lot - West Campus'!I678,'By Structure'!G34)</f>
        <v>17</v>
      </c>
      <c r="H102" s="58">
        <f>SUM('By Lot - West Campus'!J440,'By Structure'!H23,'By Lot - West Campus'!J661,'By Lot - West Campus'!J678,'By Structure'!H34)</f>
        <v>15</v>
      </c>
      <c r="I102" s="58">
        <f>SUM('By Lot - West Campus'!K440,'By Structure'!I23,'By Lot - West Campus'!K661,'By Lot - West Campus'!K678,'By Structure'!I34)</f>
        <v>17</v>
      </c>
      <c r="J102" s="58">
        <f>SUM('By Lot - West Campus'!L440,'By Structure'!J23,'By Lot - West Campus'!L661,'By Lot - West Campus'!L678,'By Structure'!J34)</f>
        <v>18</v>
      </c>
      <c r="K102" s="58">
        <f>SUM('By Lot - West Campus'!M440,'By Structure'!K23,'By Lot - West Campus'!M661,'By Lot - West Campus'!M678,'By Structure'!K34)</f>
        <v>20</v>
      </c>
      <c r="L102" s="58">
        <f>SUM('By Lot - West Campus'!N440,'By Structure'!L23,'By Lot - West Campus'!N661,'By Lot - West Campus'!N678,'By Structure'!L34)</f>
        <v>23</v>
      </c>
      <c r="M102" s="31">
        <f>SUM('By Lot - West Campus'!O440,'By Structure'!M23,'By Lot - West Campus'!O661,'By Lot - West Campus'!O678,'By Structure'!M34)</f>
        <v>21</v>
      </c>
      <c r="N102" s="54">
        <f t="shared" si="38"/>
        <v>15</v>
      </c>
      <c r="O102" s="58">
        <f t="shared" si="39"/>
        <v>11</v>
      </c>
      <c r="P102" s="59">
        <f t="shared" si="40"/>
        <v>0.42307692307692307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1.25" customHeight="1" x14ac:dyDescent="0.4">
      <c r="A103" s="158" t="s">
        <v>341</v>
      </c>
      <c r="B103" s="17" t="s">
        <v>309</v>
      </c>
      <c r="C103" s="17">
        <f>SUM('By Lot - West Campus'!E441:E446,
'By Structure'!C24,
'By Lot - West Campus'!E662:E667,
'By Lot - West Campus'!E679:E684,
'By Structure'!C35)</f>
        <v>124</v>
      </c>
      <c r="D103" s="54">
        <f>SUM('By Lot - West Campus'!F441:F446,
'By Structure'!D24,
'By Lot - West Campus'!F662:F667,
'By Lot - West Campus'!F679:F684,
'By Structure'!D35)</f>
        <v>72</v>
      </c>
      <c r="E103" s="58">
        <f>SUM('By Lot - West Campus'!G441:G446,
'By Structure'!E24,
'By Lot - West Campus'!G662:G667,
'By Lot - West Campus'!G679:G684,
'By Structure'!E35)</f>
        <v>76</v>
      </c>
      <c r="F103" s="58">
        <f>SUM('By Lot - West Campus'!H441:H446,
'By Structure'!F24,
'By Lot - West Campus'!H662:H667,
'By Lot - West Campus'!H679:H684,
'By Structure'!F35)</f>
        <v>23</v>
      </c>
      <c r="G103" s="58">
        <f>SUM('By Lot - West Campus'!I441:I446,
'By Structure'!G24,
'By Lot - West Campus'!I662:I667,
'By Lot - West Campus'!I679:I684,
'By Structure'!G35)</f>
        <v>17</v>
      </c>
      <c r="H103" s="58">
        <f>SUM('By Lot - West Campus'!J441:J446,
'By Structure'!H24,
'By Lot - West Campus'!J662:J667,
'By Lot - West Campus'!J679:J684,
'By Structure'!H35)</f>
        <v>11</v>
      </c>
      <c r="I103" s="58">
        <f>SUM('By Lot - West Campus'!K441:K446,
'By Structure'!I24,
'By Lot - West Campus'!K662:K667,
'By Lot - West Campus'!K679:K684,
'By Structure'!I35)</f>
        <v>12</v>
      </c>
      <c r="J103" s="58">
        <f>SUM('By Lot - West Campus'!L441:L446,
'By Structure'!J24,
'By Lot - West Campus'!L662:L667,
'By Lot - West Campus'!L679:L684,
'By Structure'!J35)</f>
        <v>13</v>
      </c>
      <c r="K103" s="58">
        <f>SUM('By Lot - West Campus'!M441:M446,
'By Structure'!K24,
'By Lot - West Campus'!M662:M667,
'By Lot - West Campus'!M679:M684,
'By Structure'!K35)</f>
        <v>25</v>
      </c>
      <c r="L103" s="58">
        <f>SUM('By Lot - West Campus'!N441:N446,
'By Structure'!L24,
'By Lot - West Campus'!N662:N667,
'By Lot - West Campus'!N679:N684,
'By Structure'!L35)</f>
        <v>42</v>
      </c>
      <c r="M103" s="31">
        <f>SUM('By Lot - West Campus'!O441:O446,
'By Structure'!M24,
'By Lot - West Campus'!O662:O667,
'By Lot - West Campus'!O679:O684,
'By Structure'!M35)</f>
        <v>58</v>
      </c>
      <c r="N103" s="54">
        <f t="shared" si="38"/>
        <v>11</v>
      </c>
      <c r="O103" s="58">
        <f t="shared" si="39"/>
        <v>113</v>
      </c>
      <c r="P103" s="59">
        <f t="shared" si="40"/>
        <v>0.91129032258064513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1.25" customHeight="1" x14ac:dyDescent="0.4">
      <c r="A104" s="158" t="s">
        <v>342</v>
      </c>
      <c r="B104" s="17" t="s">
        <v>310</v>
      </c>
      <c r="C104" s="17">
        <f>SUM('By Lot - West Campus'!E447,'By Structure'!C25,'By Lot - West Campus'!E668,'By Lot - West Campus'!E685,'By Structure'!C36)</f>
        <v>51</v>
      </c>
      <c r="D104" s="54">
        <f>SUM('By Lot - West Campus'!F442,'By Structure'!D25,'By Lot - West Campus'!F668,'By Lot - West Campus'!F685,'By Structure'!D36)</f>
        <v>39</v>
      </c>
      <c r="E104" s="58">
        <f>SUM('By Lot - West Campus'!G442,'By Structure'!E25,'By Lot - West Campus'!G668,'By Lot - West Campus'!G685,'By Structure'!E36)</f>
        <v>35</v>
      </c>
      <c r="F104" s="58">
        <f>SUM('By Lot - West Campus'!H442,'By Structure'!F25,'By Lot - West Campus'!H668,'By Lot - West Campus'!H685,'By Structure'!F36)</f>
        <v>32</v>
      </c>
      <c r="G104" s="58">
        <f>SUM('By Lot - West Campus'!I442,'By Structure'!G25,'By Lot - West Campus'!I668,'By Lot - West Campus'!I685,'By Structure'!G36)</f>
        <v>33</v>
      </c>
      <c r="H104" s="58">
        <f>SUM('By Lot - West Campus'!J442,'By Structure'!H25,'By Lot - West Campus'!J668,'By Lot - West Campus'!J685,'By Structure'!H36)</f>
        <v>27</v>
      </c>
      <c r="I104" s="58">
        <f>SUM('By Lot - West Campus'!K442,'By Structure'!I25,'By Lot - West Campus'!K668,'By Lot - West Campus'!K685,'By Structure'!I36)</f>
        <v>31</v>
      </c>
      <c r="J104" s="58">
        <f>SUM('By Lot - West Campus'!L442,'By Structure'!J25,'By Lot - West Campus'!L668,'By Lot - West Campus'!L685,'By Structure'!J36)</f>
        <v>32</v>
      </c>
      <c r="K104" s="58">
        <f>SUM('By Lot - West Campus'!M442,'By Structure'!K25,'By Lot - West Campus'!M668,'By Lot - West Campus'!M685,'By Structure'!K36)</f>
        <v>40</v>
      </c>
      <c r="L104" s="58">
        <f>SUM('By Lot - West Campus'!N442,'By Structure'!L25,'By Lot - West Campus'!N668,'By Lot - West Campus'!N685,'By Structure'!L36)</f>
        <v>41</v>
      </c>
      <c r="M104" s="31">
        <f>SUM('By Lot - West Campus'!O442,'By Structure'!M25,'By Lot - West Campus'!O668,'By Lot - West Campus'!O685,'By Structure'!M36)</f>
        <v>46</v>
      </c>
      <c r="N104" s="54">
        <f t="shared" si="38"/>
        <v>27</v>
      </c>
      <c r="O104" s="58">
        <f t="shared" si="39"/>
        <v>24</v>
      </c>
      <c r="P104" s="59">
        <f t="shared" si="40"/>
        <v>0.47058823529411764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1.25" customHeight="1" x14ac:dyDescent="0.4">
      <c r="A105" s="32"/>
      <c r="B105" s="17" t="s">
        <v>311</v>
      </c>
      <c r="C105" s="17">
        <f>SUM('By Lot - West Campus'!E448,'By Structure'!C26,'By Lot - West Campus'!E669,'By Lot - West Campus'!E686,'By Structure'!C37)</f>
        <v>21</v>
      </c>
      <c r="D105" s="54">
        <f>SUM('By Lot - West Campus'!F443,'By Structure'!D26,'By Lot - West Campus'!F669,'By Lot - West Campus'!F686,'By Structure'!D37)</f>
        <v>8</v>
      </c>
      <c r="E105" s="58">
        <f>SUM('By Lot - West Campus'!G443,'By Structure'!E26,'By Lot - West Campus'!G669,'By Lot - West Campus'!G686,'By Structure'!E37)</f>
        <v>7</v>
      </c>
      <c r="F105" s="58">
        <f>SUM('By Lot - West Campus'!H443,'By Structure'!F26,'By Lot - West Campus'!H669,'By Lot - West Campus'!H686,'By Structure'!F37)</f>
        <v>8</v>
      </c>
      <c r="G105" s="58">
        <f>SUM('By Lot - West Campus'!I443,'By Structure'!G26,'By Lot - West Campus'!I669,'By Lot - West Campus'!I686,'By Structure'!G37)</f>
        <v>8</v>
      </c>
      <c r="H105" s="58">
        <f>SUM('By Lot - West Campus'!J443,'By Structure'!H26,'By Lot - West Campus'!J669,'By Lot - West Campus'!J686,'By Structure'!H37)</f>
        <v>8</v>
      </c>
      <c r="I105" s="58">
        <f>SUM('By Lot - West Campus'!K443,'By Structure'!I26,'By Lot - West Campus'!K669,'By Lot - West Campus'!K686,'By Structure'!I37)</f>
        <v>12</v>
      </c>
      <c r="J105" s="58">
        <f>SUM('By Lot - West Campus'!L443,'By Structure'!J26,'By Lot - West Campus'!L669,'By Lot - West Campus'!L686,'By Structure'!J37)</f>
        <v>11</v>
      </c>
      <c r="K105" s="58">
        <f>SUM('By Lot - West Campus'!M443,'By Structure'!K26,'By Lot - West Campus'!M669,'By Lot - West Campus'!M686,'By Structure'!K37)</f>
        <v>10</v>
      </c>
      <c r="L105" s="58">
        <f>SUM('By Lot - West Campus'!N443,'By Structure'!L26,'By Lot - West Campus'!N669,'By Lot - West Campus'!N686,'By Structure'!L37)</f>
        <v>14</v>
      </c>
      <c r="M105" s="31">
        <f>SUM('By Lot - West Campus'!O443,'By Structure'!M26,'By Lot - West Campus'!O669,'By Lot - West Campus'!O686,'By Structure'!M37)</f>
        <v>14</v>
      </c>
      <c r="N105" s="54">
        <f t="shared" si="38"/>
        <v>7</v>
      </c>
      <c r="O105" s="58">
        <f t="shared" si="39"/>
        <v>14</v>
      </c>
      <c r="P105" s="59">
        <f t="shared" si="40"/>
        <v>0.66666666666666663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1.25" customHeight="1" x14ac:dyDescent="0.4">
      <c r="A106" s="32"/>
      <c r="B106" s="17" t="s">
        <v>312</v>
      </c>
      <c r="C106" s="17">
        <f>SUM('By Lot - West Campus'!E449,'By Structure'!C27,'By Lot - West Campus'!E670,'By Lot - West Campus'!E687,'By Structure'!C38)</f>
        <v>8</v>
      </c>
      <c r="D106" s="54">
        <f>SUM('By Lot - West Campus'!F444,'By Structure'!D27,'By Lot - West Campus'!F670,'By Lot - West Campus'!F687,'By Structure'!D38)</f>
        <v>6</v>
      </c>
      <c r="E106" s="58">
        <f>SUM('By Lot - West Campus'!G444,'By Structure'!E27,'By Lot - West Campus'!G670,'By Lot - West Campus'!G687,'By Structure'!E38)</f>
        <v>3</v>
      </c>
      <c r="F106" s="58">
        <f>SUM('By Lot - West Campus'!H444,'By Structure'!F27,'By Lot - West Campus'!H670,'By Lot - West Campus'!H687,'By Structure'!F38)</f>
        <v>3</v>
      </c>
      <c r="G106" s="58">
        <f>SUM('By Lot - West Campus'!I444,'By Structure'!G27,'By Lot - West Campus'!I670,'By Lot - West Campus'!I687,'By Structure'!G38)</f>
        <v>2</v>
      </c>
      <c r="H106" s="58">
        <f>SUM('By Lot - West Campus'!J444,'By Structure'!H27,'By Lot - West Campus'!J670,'By Lot - West Campus'!J687,'By Structure'!H38)</f>
        <v>2</v>
      </c>
      <c r="I106" s="58">
        <f>SUM('By Lot - West Campus'!K444,'By Structure'!I27,'By Lot - West Campus'!K670,'By Lot - West Campus'!K687,'By Structure'!I38)</f>
        <v>0</v>
      </c>
      <c r="J106" s="58">
        <f>SUM('By Lot - West Campus'!L444,'By Structure'!J27,'By Lot - West Campus'!L670,'By Lot - West Campus'!L687,'By Structure'!J38)</f>
        <v>3</v>
      </c>
      <c r="K106" s="58">
        <f>SUM('By Lot - West Campus'!M444,'By Structure'!K27,'By Lot - West Campus'!M670,'By Lot - West Campus'!M687,'By Structure'!K38)</f>
        <v>4</v>
      </c>
      <c r="L106" s="58">
        <f>SUM('By Lot - West Campus'!N444,'By Structure'!L27,'By Lot - West Campus'!N670,'By Lot - West Campus'!N687,'By Structure'!L38)</f>
        <v>4</v>
      </c>
      <c r="M106" s="31">
        <f>SUM('By Lot - West Campus'!O444,'By Structure'!M27,'By Lot - West Campus'!O670,'By Lot - West Campus'!O687,'By Structure'!M38)</f>
        <v>6</v>
      </c>
      <c r="N106" s="54">
        <f t="shared" si="38"/>
        <v>0</v>
      </c>
      <c r="O106" s="58">
        <f t="shared" si="39"/>
        <v>8</v>
      </c>
      <c r="P106" s="59">
        <f t="shared" si="40"/>
        <v>1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1.25" customHeight="1" x14ac:dyDescent="0.4">
      <c r="A107" s="32"/>
      <c r="B107" s="17" t="s">
        <v>313</v>
      </c>
      <c r="C107" s="17">
        <f>SUM('By Lot - West Campus'!E450,'By Structure'!C28,'By Lot - West Campus'!E671,'By Lot - West Campus'!E688,'By Structure'!C39)</f>
        <v>21</v>
      </c>
      <c r="D107" s="54">
        <f>SUM('By Lot - West Campus'!F445,'By Structure'!D28,'By Lot - West Campus'!F671,'By Lot - West Campus'!F688,'By Structure'!D39)</f>
        <v>11</v>
      </c>
      <c r="E107" s="58">
        <f>SUM('By Lot - West Campus'!G445,'By Structure'!E28,'By Lot - West Campus'!G671,'By Lot - West Campus'!G688,'By Structure'!E39)</f>
        <v>10</v>
      </c>
      <c r="F107" s="58">
        <f>SUM('By Lot - West Campus'!H445,'By Structure'!F28,'By Lot - West Campus'!H671,'By Lot - West Campus'!H688,'By Structure'!F39)</f>
        <v>9</v>
      </c>
      <c r="G107" s="58">
        <f>SUM('By Lot - West Campus'!I445,'By Structure'!G28,'By Lot - West Campus'!I671,'By Lot - West Campus'!I688,'By Structure'!G39)</f>
        <v>12</v>
      </c>
      <c r="H107" s="58">
        <f>SUM('By Lot - West Campus'!J445,'By Structure'!H28,'By Lot - West Campus'!J671,'By Lot - West Campus'!J688,'By Structure'!H39)</f>
        <v>12</v>
      </c>
      <c r="I107" s="58">
        <f>SUM('By Lot - West Campus'!K445,'By Structure'!I28,'By Lot - West Campus'!K671,'By Lot - West Campus'!K688,'By Structure'!I39)</f>
        <v>6</v>
      </c>
      <c r="J107" s="58">
        <f>SUM('By Lot - West Campus'!L445,'By Structure'!J28,'By Lot - West Campus'!L671,'By Lot - West Campus'!L688,'By Structure'!J39)</f>
        <v>8</v>
      </c>
      <c r="K107" s="58">
        <f>SUM('By Lot - West Campus'!M445,'By Structure'!K28,'By Lot - West Campus'!M671,'By Lot - West Campus'!M688,'By Structure'!K39)</f>
        <v>6</v>
      </c>
      <c r="L107" s="58">
        <f>SUM('By Lot - West Campus'!N445,'By Structure'!L28,'By Lot - West Campus'!N671,'By Lot - West Campus'!N688,'By Structure'!L39)</f>
        <v>5</v>
      </c>
      <c r="M107" s="31">
        <f>SUM('By Lot - West Campus'!O445,'By Structure'!M28,'By Lot - West Campus'!O671,'By Lot - West Campus'!O688,'By Structure'!M39)</f>
        <v>6</v>
      </c>
      <c r="N107" s="54">
        <f t="shared" si="38"/>
        <v>5</v>
      </c>
      <c r="O107" s="58">
        <f t="shared" si="39"/>
        <v>16</v>
      </c>
      <c r="P107" s="59">
        <f t="shared" si="40"/>
        <v>0.76190476190476186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1.25" customHeight="1" x14ac:dyDescent="0.4">
      <c r="A108" s="76"/>
      <c r="B108" s="65" t="s">
        <v>314</v>
      </c>
      <c r="C108" s="65">
        <f t="shared" ref="C108:M108" si="42">SUM(C97:C107)</f>
        <v>2404</v>
      </c>
      <c r="D108" s="70">
        <f t="shared" si="42"/>
        <v>1196</v>
      </c>
      <c r="E108" s="71">
        <f t="shared" si="42"/>
        <v>903</v>
      </c>
      <c r="F108" s="71">
        <f t="shared" si="42"/>
        <v>375</v>
      </c>
      <c r="G108" s="71">
        <f t="shared" si="42"/>
        <v>207</v>
      </c>
      <c r="H108" s="71">
        <f t="shared" si="42"/>
        <v>131</v>
      </c>
      <c r="I108" s="71">
        <f t="shared" si="42"/>
        <v>137</v>
      </c>
      <c r="J108" s="71">
        <f t="shared" si="42"/>
        <v>176</v>
      </c>
      <c r="K108" s="71">
        <f t="shared" si="42"/>
        <v>685</v>
      </c>
      <c r="L108" s="71">
        <f t="shared" si="42"/>
        <v>1038</v>
      </c>
      <c r="M108" s="129">
        <f t="shared" si="42"/>
        <v>1254</v>
      </c>
      <c r="N108" s="70">
        <f t="shared" si="38"/>
        <v>131</v>
      </c>
      <c r="O108" s="71">
        <f t="shared" si="39"/>
        <v>2273</v>
      </c>
      <c r="P108" s="72">
        <f t="shared" si="40"/>
        <v>0.94550748752079872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1.25" customHeight="1" x14ac:dyDescent="0.4">
      <c r="A109" s="15" t="s">
        <v>21</v>
      </c>
      <c r="B109" s="17" t="s">
        <v>300</v>
      </c>
      <c r="C109" s="17">
        <f>SUM('By Lot - West Campus'!E622,'By Lot - West Campus'!E639,'By Lot - West Campus'!E690,'By Lot - West Campus'!E707,'By Lot - West Campus'!E724)</f>
        <v>24</v>
      </c>
      <c r="D109" s="54">
        <f>SUM('By Lot - West Campus'!F622,'By Lot - West Campus'!F639,'By Lot - West Campus'!F690,'By Lot - West Campus'!F707,'By Lot - West Campus'!F724)</f>
        <v>9</v>
      </c>
      <c r="E109" s="58">
        <f>SUM('By Lot - West Campus'!G622,'By Lot - West Campus'!G639,'By Lot - West Campus'!G690,'By Lot - West Campus'!G707,'By Lot - West Campus'!G724)</f>
        <v>3</v>
      </c>
      <c r="F109" s="58">
        <f>SUM('By Lot - West Campus'!H622,'By Lot - West Campus'!H639,'By Lot - West Campus'!H690,'By Lot - West Campus'!H707,'By Lot - West Campus'!H724)</f>
        <v>0</v>
      </c>
      <c r="G109" s="58">
        <f>SUM('By Lot - West Campus'!I622,'By Lot - West Campus'!I639,'By Lot - West Campus'!I690,'By Lot - West Campus'!I707,'By Lot - West Campus'!I724)</f>
        <v>0</v>
      </c>
      <c r="H109" s="58">
        <f>SUM('By Lot - West Campus'!J622,'By Lot - West Campus'!J639,'By Lot - West Campus'!J690,'By Lot - West Campus'!J707,'By Lot - West Campus'!J724)</f>
        <v>2</v>
      </c>
      <c r="I109" s="58">
        <f>SUM('By Lot - West Campus'!K622,'By Lot - West Campus'!K639,'By Lot - West Campus'!K690,'By Lot - West Campus'!K707,'By Lot - West Campus'!K724)</f>
        <v>0</v>
      </c>
      <c r="J109" s="58">
        <f>SUM('By Lot - West Campus'!L622,'By Lot - West Campus'!L639,'By Lot - West Campus'!L690,'By Lot - West Campus'!L707,'By Lot - West Campus'!L724)</f>
        <v>1</v>
      </c>
      <c r="K109" s="58">
        <f>SUM('By Lot - West Campus'!M622,'By Lot - West Campus'!M639,'By Lot - West Campus'!M690,'By Lot - West Campus'!M707,'By Lot - West Campus'!M724)</f>
        <v>2</v>
      </c>
      <c r="L109" s="58">
        <f>SUM('By Lot - West Campus'!N622,'By Lot - West Campus'!N639,'By Lot - West Campus'!N690,'By Lot - West Campus'!N707,'By Lot - West Campus'!N724)</f>
        <v>6</v>
      </c>
      <c r="M109" s="60">
        <f>SUM('By Lot - West Campus'!O622,'By Lot - West Campus'!O639,'By Lot - West Campus'!O690,'By Lot - West Campus'!O707,'By Lot - West Campus'!O724)</f>
        <v>6</v>
      </c>
      <c r="N109" s="54">
        <f t="shared" si="38"/>
        <v>0</v>
      </c>
      <c r="O109" s="58">
        <f t="shared" si="39"/>
        <v>24</v>
      </c>
      <c r="P109" s="59">
        <f t="shared" si="40"/>
        <v>1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1.25" customHeight="1" x14ac:dyDescent="0.4">
      <c r="A110" s="17" t="s">
        <v>4</v>
      </c>
      <c r="B110" s="17" t="s">
        <v>301</v>
      </c>
      <c r="C110" s="17">
        <f>SUM('By Lot - West Campus'!E623,'By Lot - West Campus'!E640,'By Lot - West Campus'!E691,'By Lot - West Campus'!E708,'By Lot - West Campus'!E725)</f>
        <v>169</v>
      </c>
      <c r="D110" s="54">
        <f>SUM('By Lot - West Campus'!F623,'By Lot - West Campus'!F640,'By Lot - West Campus'!F691,'By Lot - West Campus'!F708,'By Lot - West Campus'!F725)</f>
        <v>17</v>
      </c>
      <c r="E110" s="58">
        <f>SUM('By Lot - West Campus'!G623,'By Lot - West Campus'!G640,'By Lot - West Campus'!G691,'By Lot - West Campus'!G708,'By Lot - West Campus'!G725)</f>
        <v>12</v>
      </c>
      <c r="F110" s="58">
        <f>SUM('By Lot - West Campus'!H623,'By Lot - West Campus'!H640,'By Lot - West Campus'!H691,'By Lot - West Campus'!H708,'By Lot - West Campus'!H725)</f>
        <v>1</v>
      </c>
      <c r="G110" s="58">
        <f>SUM('By Lot - West Campus'!I623,'By Lot - West Campus'!I640,'By Lot - West Campus'!I691,'By Lot - West Campus'!I708,'By Lot - West Campus'!I725)</f>
        <v>1</v>
      </c>
      <c r="H110" s="58">
        <f>SUM('By Lot - West Campus'!J623,'By Lot - West Campus'!J640,'By Lot - West Campus'!J691,'By Lot - West Campus'!J708,'By Lot - West Campus'!J725)</f>
        <v>0</v>
      </c>
      <c r="I110" s="58">
        <f>SUM('By Lot - West Campus'!K623,'By Lot - West Campus'!K640,'By Lot - West Campus'!K691,'By Lot - West Campus'!K708,'By Lot - West Campus'!K725)</f>
        <v>4</v>
      </c>
      <c r="J110" s="58">
        <f>SUM('By Lot - West Campus'!L623,'By Lot - West Campus'!L640,'By Lot - West Campus'!L691,'By Lot - West Campus'!L708,'By Lot - West Campus'!L725)</f>
        <v>7</v>
      </c>
      <c r="K110" s="58">
        <f>SUM('By Lot - West Campus'!M623,'By Lot - West Campus'!M640,'By Lot - West Campus'!M691,'By Lot - West Campus'!M708,'By Lot - West Campus'!M725)</f>
        <v>7</v>
      </c>
      <c r="L110" s="58">
        <f>SUM('By Lot - West Campus'!N623,'By Lot - West Campus'!N640,'By Lot - West Campus'!N691,'By Lot - West Campus'!N708,'By Lot - West Campus'!N725)</f>
        <v>12</v>
      </c>
      <c r="M110" s="60">
        <f>SUM('By Lot - West Campus'!O623,'By Lot - West Campus'!O640,'By Lot - West Campus'!O691,'By Lot - West Campus'!O708,'By Lot - West Campus'!O725)</f>
        <v>24</v>
      </c>
      <c r="N110" s="54">
        <f t="shared" si="38"/>
        <v>0</v>
      </c>
      <c r="O110" s="58">
        <f t="shared" si="39"/>
        <v>169</v>
      </c>
      <c r="P110" s="59">
        <f t="shared" si="40"/>
        <v>1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1.25" customHeight="1" x14ac:dyDescent="0.4">
      <c r="A111" s="17"/>
      <c r="B111" s="17" t="s">
        <v>303</v>
      </c>
      <c r="C111" s="17"/>
      <c r="D111" s="32"/>
      <c r="E111" s="6"/>
      <c r="F111" s="6"/>
      <c r="G111" s="6"/>
      <c r="H111" s="6"/>
      <c r="I111" s="6"/>
      <c r="J111" s="6"/>
      <c r="K111" s="6"/>
      <c r="L111" s="6"/>
      <c r="M111" s="31"/>
      <c r="N111" s="32"/>
      <c r="O111" s="6"/>
      <c r="P111" s="59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1.25" customHeight="1" x14ac:dyDescent="0.4">
      <c r="A112" s="158" t="s">
        <v>338</v>
      </c>
      <c r="B112" s="17" t="s">
        <v>307</v>
      </c>
      <c r="C112" s="17">
        <f>SUM('By Lot - West Campus'!E625:E626,'By Lot - West Campus'!E642:E643,'By Lot - West Campus'!E693:E694,'By Lot - West Campus'!E710:E711,'By Lot - West Campus'!E727:E728)</f>
        <v>13</v>
      </c>
      <c r="D112" s="54">
        <f>SUM('By Lot - West Campus'!F625:F626,'By Lot - West Campus'!F642:F643,'By Lot - West Campus'!F693:F694,'By Lot - West Campus'!F710:F711,'By Lot - West Campus'!F727:F728)</f>
        <v>4</v>
      </c>
      <c r="E112" s="58">
        <f>SUM('By Lot - West Campus'!G625:G626,'By Lot - West Campus'!G642:G643,'By Lot - West Campus'!G693:G694,'By Lot - West Campus'!G710:G711,'By Lot - West Campus'!G727:G728)</f>
        <v>0</v>
      </c>
      <c r="F112" s="58">
        <f>SUM('By Lot - West Campus'!H625:H626,'By Lot - West Campus'!H642:H643,'By Lot - West Campus'!H693:H694,'By Lot - West Campus'!H710:H711,'By Lot - West Campus'!H727:H728)</f>
        <v>0</v>
      </c>
      <c r="G112" s="58">
        <f>SUM('By Lot - West Campus'!I625:I626,'By Lot - West Campus'!I642:I643,'By Lot - West Campus'!I693:I694,'By Lot - West Campus'!I710:I711,'By Lot - West Campus'!I727:I728)</f>
        <v>0</v>
      </c>
      <c r="H112" s="58">
        <f>SUM('By Lot - West Campus'!J625:J626,'By Lot - West Campus'!J642:J643,'By Lot - West Campus'!J693:J694,'By Lot - West Campus'!J710:J711,'By Lot - West Campus'!J727:J728)</f>
        <v>0</v>
      </c>
      <c r="I112" s="58">
        <f>SUM('By Lot - West Campus'!K625:K626,'By Lot - West Campus'!K642:K643,'By Lot - West Campus'!K693:K694,'By Lot - West Campus'!K710:K711,'By Lot - West Campus'!K727:K728)</f>
        <v>0</v>
      </c>
      <c r="J112" s="58">
        <f>SUM('By Lot - West Campus'!L625:L626,'By Lot - West Campus'!L642:L643,'By Lot - West Campus'!L693:L694,'By Lot - West Campus'!L710:L711,'By Lot - West Campus'!L727:L728)</f>
        <v>0</v>
      </c>
      <c r="K112" s="58">
        <f>SUM('By Lot - West Campus'!M625:M626,'By Lot - West Campus'!M642:M643,'By Lot - West Campus'!M693:M694,'By Lot - West Campus'!M710:M711,'By Lot - West Campus'!M727:M728)</f>
        <v>0</v>
      </c>
      <c r="L112" s="58">
        <f>SUM('By Lot - West Campus'!N625:N626,'By Lot - West Campus'!N642:N643,'By Lot - West Campus'!N693:N694,'By Lot - West Campus'!N710:N711,'By Lot - West Campus'!N727:N728)</f>
        <v>0</v>
      </c>
      <c r="M112" s="60">
        <f>SUM('By Lot - West Campus'!O625:O626,'By Lot - West Campus'!O642:O643,'By Lot - West Campus'!O693:O694,'By Lot - West Campus'!O710:O711,'By Lot - West Campus'!O727:O728)</f>
        <v>3</v>
      </c>
      <c r="N112" s="54">
        <f t="shared" ref="N112:N117" si="43">MIN(D112:M112)</f>
        <v>0</v>
      </c>
      <c r="O112" s="58">
        <f t="shared" ref="O112:O117" si="44">C112-N112</f>
        <v>13</v>
      </c>
      <c r="P112" s="59">
        <f t="shared" ref="P112:P117" si="45">O112/C112</f>
        <v>1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1.25" customHeight="1" x14ac:dyDescent="0.4">
      <c r="A113" s="158" t="s">
        <v>339</v>
      </c>
      <c r="B113" s="17" t="s">
        <v>308</v>
      </c>
      <c r="C113" s="17">
        <f>SUM('By Lot - West Campus'!E627,'By Lot - West Campus'!E644,'By Lot - West Campus'!E695,'By Lot - West Campus'!E712,'By Lot - West Campus'!E729)</f>
        <v>9</v>
      </c>
      <c r="D113" s="54">
        <f>SUM('By Lot - West Campus'!F627,'By Lot - West Campus'!F644,'By Lot - West Campus'!F695,'By Lot - West Campus'!F712,'By Lot - West Campus'!F729)</f>
        <v>2</v>
      </c>
      <c r="E113" s="58">
        <f>SUM('By Lot - West Campus'!G627,'By Lot - West Campus'!G644,'By Lot - West Campus'!G695,'By Lot - West Campus'!G712,'By Lot - West Campus'!G729)</f>
        <v>2</v>
      </c>
      <c r="F113" s="58">
        <f>SUM('By Lot - West Campus'!H627,'By Lot - West Campus'!H644,'By Lot - West Campus'!H695,'By Lot - West Campus'!H712,'By Lot - West Campus'!H729)</f>
        <v>2</v>
      </c>
      <c r="G113" s="58">
        <f>SUM('By Lot - West Campus'!I627,'By Lot - West Campus'!I644,'By Lot - West Campus'!I695,'By Lot - West Campus'!I712,'By Lot - West Campus'!I729)</f>
        <v>2</v>
      </c>
      <c r="H113" s="58">
        <f>SUM('By Lot - West Campus'!J627,'By Lot - West Campus'!J644,'By Lot - West Campus'!J695,'By Lot - West Campus'!J712,'By Lot - West Campus'!J729)</f>
        <v>1</v>
      </c>
      <c r="I113" s="58">
        <f>SUM('By Lot - West Campus'!K627,'By Lot - West Campus'!K644,'By Lot - West Campus'!K695,'By Lot - West Campus'!K712,'By Lot - West Campus'!K729)</f>
        <v>1</v>
      </c>
      <c r="J113" s="58">
        <f>SUM('By Lot - West Campus'!L627,'By Lot - West Campus'!L644,'By Lot - West Campus'!L695,'By Lot - West Campus'!L712,'By Lot - West Campus'!L729)</f>
        <v>1</v>
      </c>
      <c r="K113" s="58">
        <f>SUM('By Lot - West Campus'!M627,'By Lot - West Campus'!M644,'By Lot - West Campus'!M695,'By Lot - West Campus'!M712,'By Lot - West Campus'!M729)</f>
        <v>1</v>
      </c>
      <c r="L113" s="58">
        <f>SUM('By Lot - West Campus'!N627,'By Lot - West Campus'!N644,'By Lot - West Campus'!N695,'By Lot - West Campus'!N712,'By Lot - West Campus'!N729)</f>
        <v>1</v>
      </c>
      <c r="M113" s="60">
        <f>SUM('By Lot - West Campus'!O627,'By Lot - West Campus'!O644,'By Lot - West Campus'!O695,'By Lot - West Campus'!O712,'By Lot - West Campus'!O729)</f>
        <v>1</v>
      </c>
      <c r="N113" s="54">
        <f t="shared" si="43"/>
        <v>1</v>
      </c>
      <c r="O113" s="58">
        <f t="shared" si="44"/>
        <v>8</v>
      </c>
      <c r="P113" s="59">
        <f t="shared" si="45"/>
        <v>0.88888888888888884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1.25" customHeight="1" x14ac:dyDescent="0.4">
      <c r="A114" s="158" t="s">
        <v>340</v>
      </c>
      <c r="B114" s="17" t="s">
        <v>309</v>
      </c>
      <c r="C114" s="17">
        <f>SUM('By Lot - West Campus'!E628:E633,'By Lot - West Campus'!E645:E650,'By Lot - West Campus'!E697:E701,'By Lot - West Campus'!E713:E718,'By Lot - West Campus'!E730:E735)</f>
        <v>13</v>
      </c>
      <c r="D114" s="54">
        <f>SUM('By Lot - West Campus'!F628:F633,'By Lot - West Campus'!F645:F650,'By Lot - West Campus'!F697:F701,'By Lot - West Campus'!F713:F718,'By Lot - West Campus'!F730:F735)</f>
        <v>5</v>
      </c>
      <c r="E114" s="58">
        <f>SUM('By Lot - West Campus'!G628:G633,'By Lot - West Campus'!G645:G650,'By Lot - West Campus'!G697:G701,'By Lot - West Campus'!G713:G718,'By Lot - West Campus'!G730:G735)</f>
        <v>5</v>
      </c>
      <c r="F114" s="58">
        <f>SUM('By Lot - West Campus'!H628:H633,'By Lot - West Campus'!H645:H650,'By Lot - West Campus'!H697:H701,'By Lot - West Campus'!H713:H718,'By Lot - West Campus'!H730:H735)</f>
        <v>2</v>
      </c>
      <c r="G114" s="58">
        <f>SUM('By Lot - West Campus'!I628:I633,'By Lot - West Campus'!I645:I650,'By Lot - West Campus'!I697:I701,'By Lot - West Campus'!I713:I718,'By Lot - West Campus'!I730:I735)</f>
        <v>4</v>
      </c>
      <c r="H114" s="58">
        <f>SUM('By Lot - West Campus'!J628:J633,'By Lot - West Campus'!J645:J650,'By Lot - West Campus'!J697:J701,'By Lot - West Campus'!J713:J718,'By Lot - West Campus'!J730:J735)</f>
        <v>1</v>
      </c>
      <c r="I114" s="58">
        <f>SUM('By Lot - West Campus'!K628:K633,'By Lot - West Campus'!K645:K650,'By Lot - West Campus'!K697:K701,'By Lot - West Campus'!K713:K718,'By Lot - West Campus'!K730:K735)</f>
        <v>4</v>
      </c>
      <c r="J114" s="58">
        <f>SUM('By Lot - West Campus'!L628:L633,'By Lot - West Campus'!L645:L650,'By Lot - West Campus'!L697:L701,'By Lot - West Campus'!L713:L718,'By Lot - West Campus'!L730:L735)</f>
        <v>1</v>
      </c>
      <c r="K114" s="58">
        <f>SUM('By Lot - West Campus'!M628:M633,'By Lot - West Campus'!M645:M650,'By Lot - West Campus'!M697:M701,'By Lot - West Campus'!M713:M718,'By Lot - West Campus'!M730:M735)</f>
        <v>1</v>
      </c>
      <c r="L114" s="58">
        <f>SUM('By Lot - West Campus'!N628:N633,'By Lot - West Campus'!N645:N650,'By Lot - West Campus'!N697:N701,'By Lot - West Campus'!N713:N718,'By Lot - West Campus'!N730:N735)</f>
        <v>4</v>
      </c>
      <c r="M114" s="60">
        <f>SUM('By Lot - West Campus'!O628:O633,'By Lot - West Campus'!O645:O650,'By Lot - West Campus'!O697:O701,'By Lot - West Campus'!O713:O718,'By Lot - West Campus'!O730:O735)</f>
        <v>5</v>
      </c>
      <c r="N114" s="54">
        <f t="shared" si="43"/>
        <v>1</v>
      </c>
      <c r="O114" s="58">
        <f t="shared" si="44"/>
        <v>12</v>
      </c>
      <c r="P114" s="59">
        <f t="shared" si="45"/>
        <v>0.92307692307692313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1.25" customHeight="1" x14ac:dyDescent="0.4">
      <c r="A115" s="158" t="s">
        <v>341</v>
      </c>
      <c r="B115" s="17" t="s">
        <v>310</v>
      </c>
      <c r="C115" s="17">
        <f>SUM('By Lot - West Campus'!E634,'By Lot - West Campus'!E651,'By Lot - West Campus'!E702,'By Lot - West Campus'!E719,'By Lot - West Campus'!E736)</f>
        <v>5</v>
      </c>
      <c r="D115" s="54">
        <f>SUM('By Lot - West Campus'!F634,'By Lot - West Campus'!F651,'By Lot - West Campus'!F702,'By Lot - West Campus'!F719,'By Lot - West Campus'!F736)</f>
        <v>5</v>
      </c>
      <c r="E115" s="58">
        <f>SUM('By Lot - West Campus'!G634,'By Lot - West Campus'!G651,'By Lot - West Campus'!G702,'By Lot - West Campus'!G719,'By Lot - West Campus'!G736)</f>
        <v>2</v>
      </c>
      <c r="F115" s="58">
        <f>SUM('By Lot - West Campus'!H634,'By Lot - West Campus'!H651,'By Lot - West Campus'!H702,'By Lot - West Campus'!H719,'By Lot - West Campus'!H736)</f>
        <v>0</v>
      </c>
      <c r="G115" s="58">
        <f>SUM('By Lot - West Campus'!I634,'By Lot - West Campus'!I651,'By Lot - West Campus'!I702,'By Lot - West Campus'!I719,'By Lot - West Campus'!I736)</f>
        <v>1</v>
      </c>
      <c r="H115" s="58">
        <f>SUM('By Lot - West Campus'!J634,'By Lot - West Campus'!J651,'By Lot - West Campus'!J702,'By Lot - West Campus'!J719,'By Lot - West Campus'!J736)</f>
        <v>1</v>
      </c>
      <c r="I115" s="58">
        <f>SUM('By Lot - West Campus'!K634,'By Lot - West Campus'!K651,'By Lot - West Campus'!K702,'By Lot - West Campus'!K719,'By Lot - West Campus'!K736)</f>
        <v>0</v>
      </c>
      <c r="J115" s="58">
        <f>SUM('By Lot - West Campus'!L634,'By Lot - West Campus'!L651,'By Lot - West Campus'!L702,'By Lot - West Campus'!L719,'By Lot - West Campus'!L736)</f>
        <v>0</v>
      </c>
      <c r="K115" s="58">
        <f>SUM('By Lot - West Campus'!M634,'By Lot - West Campus'!M651,'By Lot - West Campus'!M702,'By Lot - West Campus'!M719,'By Lot - West Campus'!M736)</f>
        <v>0</v>
      </c>
      <c r="L115" s="58">
        <f>SUM('By Lot - West Campus'!N634,'By Lot - West Campus'!N651,'By Lot - West Campus'!N702,'By Lot - West Campus'!N719,'By Lot - West Campus'!N736)</f>
        <v>0</v>
      </c>
      <c r="M115" s="31">
        <f>SUM('By Lot - West Campus'!O634,'By Lot - West Campus'!O651,'By Lot - West Campus'!O702,'By Lot - West Campus'!O719,'By Lot - West Campus'!O736)</f>
        <v>0</v>
      </c>
      <c r="N115" s="54">
        <f t="shared" si="43"/>
        <v>0</v>
      </c>
      <c r="O115" s="58">
        <f t="shared" si="44"/>
        <v>5</v>
      </c>
      <c r="P115" s="59">
        <f t="shared" si="45"/>
        <v>1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1.25" customHeight="1" x14ac:dyDescent="0.4">
      <c r="A116" s="158" t="s">
        <v>342</v>
      </c>
      <c r="B116" s="17" t="s">
        <v>311</v>
      </c>
      <c r="C116" s="17">
        <f>SUM('By Lot - West Campus'!E635,'By Lot - West Campus'!E652,'By Lot - West Campus'!E703,'By Lot - West Campus'!E720,'By Lot - West Campus'!E737)</f>
        <v>7</v>
      </c>
      <c r="D116" s="54">
        <f>SUM('By Lot - West Campus'!F635,'By Lot - West Campus'!F652,'By Lot - West Campus'!F703,'By Lot - West Campus'!F720,'By Lot - West Campus'!F737)</f>
        <v>0</v>
      </c>
      <c r="E116" s="58">
        <f>SUM('By Lot - West Campus'!G635,'By Lot - West Campus'!G652,'By Lot - West Campus'!G703,'By Lot - West Campus'!G720,'By Lot - West Campus'!G737)</f>
        <v>0</v>
      </c>
      <c r="F116" s="58">
        <f>SUM('By Lot - West Campus'!H635,'By Lot - West Campus'!H652,'By Lot - West Campus'!H703,'By Lot - West Campus'!H720,'By Lot - West Campus'!H737)</f>
        <v>3</v>
      </c>
      <c r="G116" s="58">
        <f>SUM('By Lot - West Campus'!I635,'By Lot - West Campus'!I652,'By Lot - West Campus'!I703,'By Lot - West Campus'!I720,'By Lot - West Campus'!I737)</f>
        <v>3</v>
      </c>
      <c r="H116" s="58">
        <f>SUM('By Lot - West Campus'!J635,'By Lot - West Campus'!J652,'By Lot - West Campus'!J703,'By Lot - West Campus'!J720,'By Lot - West Campus'!J737)</f>
        <v>2</v>
      </c>
      <c r="I116" s="58">
        <f>SUM('By Lot - West Campus'!K635,'By Lot - West Campus'!K652,'By Lot - West Campus'!K703,'By Lot - West Campus'!K720,'By Lot - West Campus'!K737)</f>
        <v>11</v>
      </c>
      <c r="J116" s="58">
        <f>SUM('By Lot - West Campus'!L635,'By Lot - West Campus'!L652,'By Lot - West Campus'!L703,'By Lot - West Campus'!L720,'By Lot - West Campus'!L737)</f>
        <v>2</v>
      </c>
      <c r="K116" s="58">
        <f>SUM('By Lot - West Campus'!M635,'By Lot - West Campus'!M652,'By Lot - West Campus'!M703,'By Lot - West Campus'!M720,'By Lot - West Campus'!M737)</f>
        <v>1</v>
      </c>
      <c r="L116" s="58">
        <f>SUM('By Lot - West Campus'!N635,'By Lot - West Campus'!N652,'By Lot - West Campus'!N703,'By Lot - West Campus'!N720,'By Lot - West Campus'!N737)</f>
        <v>3</v>
      </c>
      <c r="M116" s="31">
        <f>SUM('By Lot - West Campus'!O635,'By Lot - West Campus'!O652,'By Lot - West Campus'!O703,'By Lot - West Campus'!O720,'By Lot - West Campus'!O737)</f>
        <v>3</v>
      </c>
      <c r="N116" s="54">
        <f t="shared" si="43"/>
        <v>0</v>
      </c>
      <c r="O116" s="58">
        <f t="shared" si="44"/>
        <v>7</v>
      </c>
      <c r="P116" s="59">
        <f t="shared" si="45"/>
        <v>1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1.25" customHeight="1" x14ac:dyDescent="0.4">
      <c r="A117" s="17"/>
      <c r="B117" s="17" t="s">
        <v>312</v>
      </c>
      <c r="C117" s="17">
        <f>SUM('By Lot - West Campus'!E636,'By Lot - West Campus'!E653,'By Lot - West Campus'!E704,'By Lot - West Campus'!E721,'By Lot - West Campus'!E738)</f>
        <v>2</v>
      </c>
      <c r="D117" s="54">
        <f>SUM('By Lot - West Campus'!F636,'By Lot - West Campus'!F653,'By Lot - West Campus'!F704,'By Lot - West Campus'!F721,'By Lot - West Campus'!F738)</f>
        <v>2</v>
      </c>
      <c r="E117" s="58">
        <f>SUM('By Lot - West Campus'!G636,'By Lot - West Campus'!G653,'By Lot - West Campus'!G704,'By Lot - West Campus'!G721,'By Lot - West Campus'!G738)</f>
        <v>0</v>
      </c>
      <c r="F117" s="58">
        <f>SUM('By Lot - West Campus'!H636,'By Lot - West Campus'!H653,'By Lot - West Campus'!H704,'By Lot - West Campus'!H721,'By Lot - West Campus'!H738)</f>
        <v>0</v>
      </c>
      <c r="G117" s="58">
        <f>SUM('By Lot - West Campus'!I636,'By Lot - West Campus'!I653,'By Lot - West Campus'!I704,'By Lot - West Campus'!I721,'By Lot - West Campus'!I738)</f>
        <v>2</v>
      </c>
      <c r="H117" s="58">
        <f>SUM('By Lot - West Campus'!J636,'By Lot - West Campus'!J653,'By Lot - West Campus'!J704,'By Lot - West Campus'!J721,'By Lot - West Campus'!J738)</f>
        <v>0</v>
      </c>
      <c r="I117" s="58">
        <f>SUM('By Lot - West Campus'!K636,'By Lot - West Campus'!K653,'By Lot - West Campus'!K704,'By Lot - West Campus'!K721,'By Lot - West Campus'!K738)</f>
        <v>1</v>
      </c>
      <c r="J117" s="58">
        <f>SUM('By Lot - West Campus'!L636,'By Lot - West Campus'!L653,'By Lot - West Campus'!L704,'By Lot - West Campus'!L721,'By Lot - West Campus'!L738)</f>
        <v>1</v>
      </c>
      <c r="K117" s="58">
        <f>SUM('By Lot - West Campus'!M636,'By Lot - West Campus'!M653,'By Lot - West Campus'!M704,'By Lot - West Campus'!M721,'By Lot - West Campus'!M738)</f>
        <v>1</v>
      </c>
      <c r="L117" s="58">
        <f>SUM('By Lot - West Campus'!N636,'By Lot - West Campus'!N653,'By Lot - West Campus'!N704,'By Lot - West Campus'!N721,'By Lot - West Campus'!N738)</f>
        <v>1</v>
      </c>
      <c r="M117" s="31">
        <f>SUM('By Lot - West Campus'!O636,'By Lot - West Campus'!O653,'By Lot - West Campus'!O704,'By Lot - West Campus'!O721,'By Lot - West Campus'!O738)</f>
        <v>1</v>
      </c>
      <c r="N117" s="54">
        <f t="shared" si="43"/>
        <v>0</v>
      </c>
      <c r="O117" s="58">
        <f t="shared" si="44"/>
        <v>2</v>
      </c>
      <c r="P117" s="59">
        <f t="shared" si="45"/>
        <v>1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1.25" customHeight="1" x14ac:dyDescent="0.4">
      <c r="A118" s="17"/>
      <c r="B118" s="17" t="s">
        <v>313</v>
      </c>
      <c r="C118" s="17"/>
      <c r="D118" s="32"/>
      <c r="E118" s="6"/>
      <c r="F118" s="6"/>
      <c r="G118" s="6"/>
      <c r="H118" s="6"/>
      <c r="I118" s="6"/>
      <c r="J118" s="6"/>
      <c r="K118" s="6"/>
      <c r="L118" s="6"/>
      <c r="M118" s="31"/>
      <c r="N118" s="32"/>
      <c r="O118" s="6"/>
      <c r="P118" s="59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1.25" customHeight="1" x14ac:dyDescent="0.4">
      <c r="A119" s="34"/>
      <c r="B119" s="65" t="s">
        <v>314</v>
      </c>
      <c r="C119" s="65">
        <f t="shared" ref="C119:M119" si="46">SUM(C109:C118)</f>
        <v>242</v>
      </c>
      <c r="D119" s="70">
        <f t="shared" si="46"/>
        <v>44</v>
      </c>
      <c r="E119" s="71">
        <f t="shared" si="46"/>
        <v>24</v>
      </c>
      <c r="F119" s="71">
        <f t="shared" si="46"/>
        <v>8</v>
      </c>
      <c r="G119" s="71">
        <f t="shared" si="46"/>
        <v>13</v>
      </c>
      <c r="H119" s="71">
        <f t="shared" si="46"/>
        <v>7</v>
      </c>
      <c r="I119" s="71">
        <f t="shared" si="46"/>
        <v>21</v>
      </c>
      <c r="J119" s="71">
        <f t="shared" si="46"/>
        <v>13</v>
      </c>
      <c r="K119" s="71">
        <f t="shared" si="46"/>
        <v>13</v>
      </c>
      <c r="L119" s="71">
        <f t="shared" si="46"/>
        <v>27</v>
      </c>
      <c r="M119" s="157">
        <f t="shared" si="46"/>
        <v>43</v>
      </c>
      <c r="N119" s="70">
        <f>MIN(D119:M119)</f>
        <v>7</v>
      </c>
      <c r="O119" s="71">
        <f>C119-N119</f>
        <v>235</v>
      </c>
      <c r="P119" s="72">
        <f>O119/C119</f>
        <v>0.97107438016528924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1.25" customHeight="1" x14ac:dyDescent="0.4">
      <c r="A120" s="15" t="s">
        <v>21</v>
      </c>
      <c r="B120" s="17" t="s">
        <v>300</v>
      </c>
      <c r="C120" s="17"/>
      <c r="D120" s="32"/>
      <c r="E120" s="6"/>
      <c r="F120" s="6"/>
      <c r="G120" s="6"/>
      <c r="H120" s="6"/>
      <c r="I120" s="6"/>
      <c r="J120" s="6"/>
      <c r="K120" s="6"/>
      <c r="L120" s="6"/>
      <c r="M120" s="31"/>
      <c r="N120" s="32"/>
      <c r="O120" s="6"/>
      <c r="P120" s="59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1.25" customHeight="1" x14ac:dyDescent="0.4">
      <c r="A121" s="17" t="s">
        <v>343</v>
      </c>
      <c r="B121" s="17" t="s">
        <v>301</v>
      </c>
      <c r="C121" s="17">
        <f>SUM('By Structure'!C42,'By Structure'!C53,'By Lot - West Campus'!E878,'By Lot - West Campus'!E895,
'By Lot - West Campus'!E912,'By Lot - West Campus'!E929)</f>
        <v>703</v>
      </c>
      <c r="D121" s="32">
        <f>SUM('By Lot - West Campus'!F844,'By Lot - West Campus'!F861,'By Lot - West Campus'!F878,'By Lot - West Campus'!F895,'By Lot - West Campus'!F912,'By Lot - West Campus'!F929,'By Lot - West Campus'!F946,'By Lot - West Campus'!F964,'By Lot - West Campus'!F981,'By Lot - West Campus'!F998,'By Lot - West Campus'!F1015)</f>
        <v>503</v>
      </c>
      <c r="E121" s="6">
        <f>SUM('By Lot - West Campus'!G844,'By Lot - West Campus'!G861,'By Lot - West Campus'!G878,'By Lot - West Campus'!G895,'By Lot - West Campus'!G912,'By Lot - West Campus'!G929,'By Lot - West Campus'!G946,'By Lot - West Campus'!G964,'By Lot - West Campus'!G981,'By Lot - West Campus'!G998,'By Lot - West Campus'!G1015)</f>
        <v>479</v>
      </c>
      <c r="F121" s="6">
        <f>SUM('By Lot - West Campus'!H844,'By Lot - West Campus'!H861,'By Lot - West Campus'!H878,'By Lot - West Campus'!H895,'By Lot - West Campus'!H912,'By Lot - West Campus'!H929,'By Lot - West Campus'!H946,'By Lot - West Campus'!H964,'By Lot - West Campus'!H981,'By Lot - West Campus'!H998,'By Lot - West Campus'!H1015)</f>
        <v>463</v>
      </c>
      <c r="G121" s="6">
        <f>SUM('By Lot - West Campus'!I844,'By Lot - West Campus'!I861,'By Lot - West Campus'!I878,'By Lot - West Campus'!I895,'By Lot - West Campus'!I912,'By Lot - West Campus'!I929,'By Lot - West Campus'!I946,'By Lot - West Campus'!I964,'By Lot - West Campus'!I981,'By Lot - West Campus'!I998,'By Lot - West Campus'!I1015)</f>
        <v>458</v>
      </c>
      <c r="H121" s="6">
        <f>SUM('By Lot - West Campus'!J844,'By Lot - West Campus'!J861,'By Lot - West Campus'!J878,'By Lot - West Campus'!J895,'By Lot - West Campus'!J912,'By Lot - West Campus'!J929,'By Lot - West Campus'!J946,'By Lot - West Campus'!J964,'By Lot - West Campus'!J981,'By Lot - West Campus'!J998,'By Lot - West Campus'!J1015)</f>
        <v>475</v>
      </c>
      <c r="I121" s="6">
        <f>SUM('By Lot - West Campus'!K844,'By Lot - West Campus'!K861,'By Lot - West Campus'!K878,'By Lot - West Campus'!K895,'By Lot - West Campus'!K912,'By Lot - West Campus'!K929,'By Lot - West Campus'!K946,'By Lot - West Campus'!K964,'By Lot - West Campus'!K981,'By Lot - West Campus'!K998,'By Lot - West Campus'!K1015)</f>
        <v>487</v>
      </c>
      <c r="J121" s="6">
        <f>SUM('By Lot - West Campus'!L844,'By Lot - West Campus'!L861,'By Lot - West Campus'!L878,'By Lot - West Campus'!L895,'By Lot - West Campus'!L912,'By Lot - West Campus'!L929,'By Lot - West Campus'!L946,'By Lot - West Campus'!L964,'By Lot - West Campus'!L981,'By Lot - West Campus'!L998,'By Lot - West Campus'!L1015)</f>
        <v>514</v>
      </c>
      <c r="K121" s="6">
        <f>SUM('By Lot - West Campus'!M844,'By Lot - West Campus'!M861,'By Lot - West Campus'!M878,'By Lot - West Campus'!M895,'By Lot - West Campus'!M912,'By Lot - West Campus'!M929,'By Lot - West Campus'!M946,'By Lot - West Campus'!M964,'By Lot - West Campus'!M981,'By Lot - West Campus'!M998,'By Lot - West Campus'!M1015)</f>
        <v>548</v>
      </c>
      <c r="L121" s="6">
        <f>SUM('By Lot - West Campus'!N844,'By Lot - West Campus'!N861,'By Lot - West Campus'!N878,'By Lot - West Campus'!N895,'By Lot - West Campus'!N912,'By Lot - West Campus'!N929,'By Lot - West Campus'!N946,'By Lot - West Campus'!N964,'By Lot - West Campus'!N981,'By Lot - West Campus'!N998,'By Lot - West Campus'!N1015)</f>
        <v>581</v>
      </c>
      <c r="M121" s="31">
        <f>SUM('By Lot - West Campus'!O844,'By Lot - West Campus'!O861,'By Lot - West Campus'!O878,'By Lot - West Campus'!O895,'By Lot - West Campus'!O912,'By Lot - West Campus'!O929,'By Lot - West Campus'!O946,'By Lot - West Campus'!O964,'By Lot - West Campus'!O981,'By Lot - West Campus'!O998,'By Lot - West Campus'!O1015)</f>
        <v>626</v>
      </c>
      <c r="N121" s="32">
        <f t="shared" ref="N121:N137" si="47">MIN(D121:M121)</f>
        <v>458</v>
      </c>
      <c r="O121" s="6">
        <f t="shared" ref="O121:O137" si="48">C121-N121</f>
        <v>245</v>
      </c>
      <c r="P121" s="59">
        <f t="shared" ref="P121:P137" si="49">O121/C121</f>
        <v>0.34850640113798009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1.25" customHeight="1" x14ac:dyDescent="0.4">
      <c r="A122" s="17" t="s">
        <v>344</v>
      </c>
      <c r="B122" s="17" t="s">
        <v>303</v>
      </c>
      <c r="C122" s="32">
        <f>SUM('By Lot - West Campus'!E845,'By Lot - West Campus'!E862,'By Lot - West Campus'!E879,'By Lot - West Campus'!E896,
'By Lot - West Campus'!E913,'By Lot - West Campus'!E947,'By Lot - West Campus'!E965,
'By Lot - West Campus'!E982,'By Lot - West Campus'!E999,'By Lot - West Campus'!E1016)</f>
        <v>9</v>
      </c>
      <c r="D122" s="32">
        <f>SUM('By Lot - West Campus'!F845,'By Lot - West Campus'!F862,'By Lot - West Campus'!F879,'By Lot - West Campus'!F896,
'By Lot - West Campus'!F913,'By Lot - West Campus'!F947,'By Lot - West Campus'!F965,
'By Lot - West Campus'!F982,'By Lot - West Campus'!F999,'By Lot - West Campus'!F1016)</f>
        <v>8</v>
      </c>
      <c r="E122" s="6">
        <f>SUM('By Lot - West Campus'!G845,'By Lot - West Campus'!G862,'By Lot - West Campus'!G879,'By Lot - West Campus'!G896,
'By Lot - West Campus'!G913,'By Lot - West Campus'!G947,'By Lot - West Campus'!G965,
'By Lot - West Campus'!G982,'By Lot - West Campus'!G999,'By Lot - West Campus'!G1016)</f>
        <v>8</v>
      </c>
      <c r="F122" s="6">
        <f>SUM('By Lot - West Campus'!H845,'By Lot - West Campus'!H862,'By Lot - West Campus'!H879,'By Lot - West Campus'!H896,
'By Lot - West Campus'!H913,'By Lot - West Campus'!H947,'By Lot - West Campus'!H965,
'By Lot - West Campus'!H982,'By Lot - West Campus'!H999,'By Lot - West Campus'!H1016)</f>
        <v>8</v>
      </c>
      <c r="G122" s="6">
        <f>SUM('By Lot - West Campus'!I845,'By Lot - West Campus'!I862,'By Lot - West Campus'!I879,'By Lot - West Campus'!I896,
'By Lot - West Campus'!I913,'By Lot - West Campus'!I947,'By Lot - West Campus'!I965,
'By Lot - West Campus'!I982,'By Lot - West Campus'!I999,'By Lot - West Campus'!I1016)</f>
        <v>8</v>
      </c>
      <c r="H122" s="6">
        <f>SUM('By Lot - West Campus'!J845,'By Lot - West Campus'!J862,'By Lot - West Campus'!J879,'By Lot - West Campus'!J896,
'By Lot - West Campus'!J913,'By Lot - West Campus'!J947,'By Lot - West Campus'!J965,
'By Lot - West Campus'!J982,'By Lot - West Campus'!J999,'By Lot - West Campus'!J1016)</f>
        <v>8</v>
      </c>
      <c r="I122" s="6">
        <f>SUM('By Lot - West Campus'!K845,'By Lot - West Campus'!K862,'By Lot - West Campus'!K879,'By Lot - West Campus'!K896,
'By Lot - West Campus'!K913,'By Lot - West Campus'!K947,'By Lot - West Campus'!K965,
'By Lot - West Campus'!K982,'By Lot - West Campus'!K999,'By Lot - West Campus'!K1016)</f>
        <v>8</v>
      </c>
      <c r="J122" s="6">
        <f>SUM('By Lot - West Campus'!L845,'By Lot - West Campus'!L862,'By Lot - West Campus'!L879,'By Lot - West Campus'!L896,
'By Lot - West Campus'!L913,'By Lot - West Campus'!L947,'By Lot - West Campus'!L965,
'By Lot - West Campus'!L982,'By Lot - West Campus'!L999,'By Lot - West Campus'!L1016)</f>
        <v>8</v>
      </c>
      <c r="K122" s="6">
        <f>SUM('By Lot - West Campus'!M845,'By Lot - West Campus'!M862,'By Lot - West Campus'!M879,'By Lot - West Campus'!M896,
'By Lot - West Campus'!M913,'By Lot - West Campus'!M947,'By Lot - West Campus'!M965,
'By Lot - West Campus'!M982,'By Lot - West Campus'!M999,'By Lot - West Campus'!M1016)</f>
        <v>9</v>
      </c>
      <c r="L122" s="6">
        <f>SUM('By Lot - West Campus'!N845,'By Lot - West Campus'!N862,'By Lot - West Campus'!N879,'By Lot - West Campus'!N896,
'By Lot - West Campus'!N913,'By Lot - West Campus'!N947,'By Lot - West Campus'!N965,
'By Lot - West Campus'!N982,'By Lot - West Campus'!N999,'By Lot - West Campus'!N1016)</f>
        <v>9</v>
      </c>
      <c r="M122" s="31">
        <f>SUM('By Lot - West Campus'!O845,'By Lot - West Campus'!O862,'By Lot - West Campus'!O879,'By Lot - West Campus'!O896,
'By Lot - West Campus'!O913,'By Lot - West Campus'!O947,'By Lot - West Campus'!O965,
'By Lot - West Campus'!O982,'By Lot - West Campus'!O999,'By Lot - West Campus'!O1016)</f>
        <v>9</v>
      </c>
      <c r="N122" s="6">
        <f t="shared" si="47"/>
        <v>8</v>
      </c>
      <c r="O122" s="6">
        <f t="shared" si="48"/>
        <v>1</v>
      </c>
      <c r="P122" s="59">
        <f t="shared" si="49"/>
        <v>0.1111111111111111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1.25" customHeight="1" x14ac:dyDescent="0.4">
      <c r="A123" s="27" t="s">
        <v>34</v>
      </c>
      <c r="B123" s="17" t="s">
        <v>345</v>
      </c>
      <c r="C123" s="32">
        <f>SUM('By Lot - West Campus'!E930)</f>
        <v>398</v>
      </c>
      <c r="D123" s="32">
        <f>SUM('By Lot - West Campus'!F930)</f>
        <v>0</v>
      </c>
      <c r="E123" s="6">
        <f>SUM('By Lot - West Campus'!G930)</f>
        <v>0</v>
      </c>
      <c r="F123" s="6">
        <f>SUM('By Lot - West Campus'!H930)</f>
        <v>0</v>
      </c>
      <c r="G123" s="6">
        <f>SUM('By Lot - West Campus'!I930)</f>
        <v>1</v>
      </c>
      <c r="H123" s="6">
        <f>SUM('By Lot - West Campus'!J930)</f>
        <v>0</v>
      </c>
      <c r="I123" s="6">
        <f>SUM('By Lot - West Campus'!K930)</f>
        <v>0</v>
      </c>
      <c r="J123" s="6">
        <f>SUM('By Lot - West Campus'!L930)</f>
        <v>0</v>
      </c>
      <c r="K123" s="6">
        <f>SUM('By Lot - West Campus'!M930)</f>
        <v>1</v>
      </c>
      <c r="L123" s="6">
        <f>SUM('By Lot - West Campus'!N930)</f>
        <v>0</v>
      </c>
      <c r="M123" s="31">
        <f>SUM('By Lot - West Campus'!O930)</f>
        <v>1</v>
      </c>
      <c r="N123" s="6">
        <f t="shared" si="47"/>
        <v>0</v>
      </c>
      <c r="O123" s="6">
        <f t="shared" si="48"/>
        <v>398</v>
      </c>
      <c r="P123" s="59">
        <f t="shared" si="49"/>
        <v>1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1.25" customHeight="1" x14ac:dyDescent="0.4">
      <c r="A124" s="27" t="s">
        <v>346</v>
      </c>
      <c r="B124" s="17" t="s">
        <v>307</v>
      </c>
      <c r="C124" s="17">
        <f>SUM('By Structure'!C44, 'By Lot - West Campus'!E880:E881,'By Lot - West Campus'!E897:E898,
'By Lot - West Campus'!E914:E915,'By Lot - West Campus'!E931:E932, 'By Structure'!C55)</f>
        <v>249</v>
      </c>
      <c r="D124" s="32">
        <f>SUM('By Lot - West Campus'!F846:F847,'By Lot - West Campus'!F863:F864,'By Lot - West Campus'!F880:F881,'By Lot - West Campus'!F897:F898,'By Lot - West Campus'!F914:F915,'By Lot - West Campus'!F931:F932,'By Lot - West Campus'!F948:F949,'By Lot - West Campus'!F966:F967,'By Lot - West Campus'!F983:F984,'By Lot - West Campus'!F1000:F1001,'By Lot - West Campus'!F1017:F1018)</f>
        <v>173</v>
      </c>
      <c r="E124" s="6">
        <f>SUM('By Lot - West Campus'!G846:G847,'By Lot - West Campus'!G863:G864,'By Lot - West Campus'!G880:G881,'By Lot - West Campus'!G897:G898,'By Lot - West Campus'!G914:G915,'By Lot - West Campus'!G931:G932,'By Lot - West Campus'!G948:G949,'By Lot - West Campus'!G966:G967,'By Lot - West Campus'!G983:G984,'By Lot - West Campus'!G1000:G1001,'By Lot - West Campus'!G1017:G1018)</f>
        <v>165</v>
      </c>
      <c r="F124" s="6">
        <f>SUM('By Lot - West Campus'!H846:H847,'By Lot - West Campus'!H863:H864,'By Lot - West Campus'!H880:H881,'By Lot - West Campus'!H897:H898,'By Lot - West Campus'!H914:H915,'By Lot - West Campus'!H931:H932,'By Lot - West Campus'!H948:H949,'By Lot - West Campus'!H966:H967,'By Lot - West Campus'!H983:H984,'By Lot - West Campus'!H1000:H1001,'By Lot - West Campus'!H1017:H1018)</f>
        <v>158</v>
      </c>
      <c r="G124" s="6">
        <f>SUM('By Lot - West Campus'!I846:I847,'By Lot - West Campus'!I863:I864,'By Lot - West Campus'!I880:I881,'By Lot - West Campus'!I897:I898,'By Lot - West Campus'!I914:I915,'By Lot - West Campus'!I931:I932,'By Lot - West Campus'!I948:I949,'By Lot - West Campus'!I966:I967,'By Lot - West Campus'!I983:I984,'By Lot - West Campus'!I1000:I1001,'By Lot - West Campus'!I1017:I1018)</f>
        <v>170</v>
      </c>
      <c r="H124" s="6">
        <f>SUM('By Lot - West Campus'!J846:J847,'By Lot - West Campus'!J863:J864,'By Lot - West Campus'!J880:J881,'By Lot - West Campus'!J897:J898,'By Lot - West Campus'!J914:J915,'By Lot - West Campus'!J931:J932,'By Lot - West Campus'!J948:J949,'By Lot - West Campus'!J966:J967,'By Lot - West Campus'!J983:J984,'By Lot - West Campus'!J1000:J1001,'By Lot - West Campus'!J1017:J1018)</f>
        <v>172</v>
      </c>
      <c r="I124" s="6">
        <f>SUM('By Lot - West Campus'!K846:K847,'By Lot - West Campus'!K863:K864,'By Lot - West Campus'!K880:K881,'By Lot - West Campus'!K897:K898,'By Lot - West Campus'!K914:K915,'By Lot - West Campus'!K931:K932,'By Lot - West Campus'!K948:K949,'By Lot - West Campus'!K966:K967,'By Lot - West Campus'!K983:K984,'By Lot - West Campus'!K1000:K1001,'By Lot - West Campus'!K1017:K1018)</f>
        <v>177</v>
      </c>
      <c r="J124" s="6">
        <f>SUM('By Lot - West Campus'!L846:L847,'By Lot - West Campus'!L863:L864,'By Lot - West Campus'!L880:L881,'By Lot - West Campus'!L897:L898,'By Lot - West Campus'!L914:L915,'By Lot - West Campus'!L931:L932,'By Lot - West Campus'!L948:L949,'By Lot - West Campus'!L966:L967,'By Lot - West Campus'!L983:L984,'By Lot - West Campus'!L1000:L1001,'By Lot - West Campus'!L1017:L1018)</f>
        <v>186</v>
      </c>
      <c r="K124" s="6">
        <f>SUM('By Lot - West Campus'!M846:M847,'By Lot - West Campus'!M863:M864,'By Lot - West Campus'!M880:M881,'By Lot - West Campus'!M897:M898,'By Lot - West Campus'!M914:M915,'By Lot - West Campus'!M931:M932,'By Lot - West Campus'!M948:M949,'By Lot - West Campus'!M966:M967,'By Lot - West Campus'!M983:M984,'By Lot - West Campus'!M1000:M1001,'By Lot - West Campus'!M1017:M1018)</f>
        <v>196</v>
      </c>
      <c r="L124" s="6">
        <f>SUM('By Lot - West Campus'!N846:N847,'By Lot - West Campus'!N863:N864,'By Lot - West Campus'!N880:N881,'By Lot - West Campus'!N897:N898,'By Lot - West Campus'!N914:N915,'By Lot - West Campus'!N931:N932,'By Lot - West Campus'!N948:N949,'By Lot - West Campus'!N966:N967,'By Lot - West Campus'!N983:N984,'By Lot - West Campus'!N1000:N1001,'By Lot - West Campus'!N1017:N1018)</f>
        <v>209</v>
      </c>
      <c r="M124" s="31">
        <f>SUM('By Lot - West Campus'!O846:O847,'By Lot - West Campus'!O863:O864,'By Lot - West Campus'!O880:O881,'By Lot - West Campus'!O897:O898,'By Lot - West Campus'!O914:O915,'By Lot - West Campus'!O931:O932,'By Lot - West Campus'!O948:O949,'By Lot - West Campus'!O966:O967,'By Lot - West Campus'!O983:O984,'By Lot - West Campus'!O1000:O1001,'By Lot - West Campus'!O1017:O1018)</f>
        <v>226</v>
      </c>
      <c r="N124" s="32">
        <f t="shared" si="47"/>
        <v>158</v>
      </c>
      <c r="O124" s="6">
        <f t="shared" si="48"/>
        <v>91</v>
      </c>
      <c r="P124" s="59">
        <f t="shared" si="49"/>
        <v>0.36546184738955823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1.25" customHeight="1" x14ac:dyDescent="0.4">
      <c r="A125" s="27" t="s">
        <v>347</v>
      </c>
      <c r="B125" s="17" t="s">
        <v>308</v>
      </c>
      <c r="C125" s="17">
        <f>SUM('By Structure'!C45,'By Lot - West Campus'!E882,'By Lot - West Campus'!E899,
'By Lot - West Campus'!E916,'By Lot - West Campus'!E933,'By Structure'!C56)</f>
        <v>20</v>
      </c>
      <c r="D125" s="32">
        <f>SUM('By Lot - West Campus'!F848,'By Lot - West Campus'!F865,'By Lot - West Campus'!F882,'By Lot - West Campus'!F899,'By Lot - West Campus'!F916,'By Lot - West Campus'!F933,'By Lot - West Campus'!F950,'By Lot - West Campus'!F968,'By Lot - West Campus'!F985,'By Lot - West Campus'!F1002,'By Lot - West Campus'!F1019, )</f>
        <v>16</v>
      </c>
      <c r="E125" s="6">
        <f>SUM('By Lot - West Campus'!G848,'By Lot - West Campus'!G865,'By Lot - West Campus'!G882,'By Lot - West Campus'!G899,'By Lot - West Campus'!G916,'By Lot - West Campus'!G933,'By Lot - West Campus'!G950,'By Lot - West Campus'!G968,'By Lot - West Campus'!G985,'By Lot - West Campus'!G1002,'By Lot - West Campus'!G1019, )</f>
        <v>12</v>
      </c>
      <c r="F125" s="6">
        <f>SUM('By Lot - West Campus'!H848,'By Lot - West Campus'!H865,'By Lot - West Campus'!H882,'By Lot - West Campus'!H899,'By Lot - West Campus'!H916,'By Lot - West Campus'!H933,'By Lot - West Campus'!H950,'By Lot - West Campus'!H968,'By Lot - West Campus'!H985,'By Lot - West Campus'!H1002,'By Lot - West Campus'!H1019, )</f>
        <v>10</v>
      </c>
      <c r="G125" s="6">
        <f>SUM('By Lot - West Campus'!I848,'By Lot - West Campus'!I865,'By Lot - West Campus'!I882,'By Lot - West Campus'!I899,'By Lot - West Campus'!I916,'By Lot - West Campus'!I933,'By Lot - West Campus'!I950,'By Lot - West Campus'!I968,'By Lot - West Campus'!I985,'By Lot - West Campus'!I1002,'By Lot - West Campus'!I1019, )</f>
        <v>9</v>
      </c>
      <c r="H125" s="6">
        <f>SUM('By Lot - West Campus'!J848,'By Lot - West Campus'!J865,'By Lot - West Campus'!J882,'By Lot - West Campus'!J899,'By Lot - West Campus'!J916,'By Lot - West Campus'!J933,'By Lot - West Campus'!J950,'By Lot - West Campus'!J968,'By Lot - West Campus'!J985,'By Lot - West Campus'!J1002,'By Lot - West Campus'!J1019, )</f>
        <v>10</v>
      </c>
      <c r="I125" s="6">
        <f>SUM('By Lot - West Campus'!K848,'By Lot - West Campus'!K865,'By Lot - West Campus'!K882,'By Lot - West Campus'!K899,'By Lot - West Campus'!K916,'By Lot - West Campus'!K933,'By Lot - West Campus'!K950,'By Lot - West Campus'!K968,'By Lot - West Campus'!K985,'By Lot - West Campus'!K1002,'By Lot - West Campus'!K1019, )</f>
        <v>11</v>
      </c>
      <c r="J125" s="6">
        <f>SUM('By Lot - West Campus'!L848,'By Lot - West Campus'!L865,'By Lot - West Campus'!L882,'By Lot - West Campus'!L899,'By Lot - West Campus'!L916,'By Lot - West Campus'!L933,'By Lot - West Campus'!L950,'By Lot - West Campus'!L968,'By Lot - West Campus'!L985,'By Lot - West Campus'!L1002,'By Lot - West Campus'!L1019, )</f>
        <v>12</v>
      </c>
      <c r="K125" s="6">
        <f>SUM('By Lot - West Campus'!M848,'By Lot - West Campus'!M865,'By Lot - West Campus'!M882,'By Lot - West Campus'!M899,'By Lot - West Campus'!M916,'By Lot - West Campus'!M933,'By Lot - West Campus'!M950,'By Lot - West Campus'!M968,'By Lot - West Campus'!M985,'By Lot - West Campus'!M1002,'By Lot - West Campus'!M1019, )</f>
        <v>15</v>
      </c>
      <c r="L125" s="6">
        <f>SUM('By Lot - West Campus'!N848,'By Lot - West Campus'!N865,'By Lot - West Campus'!N882,'By Lot - West Campus'!N899,'By Lot - West Campus'!N916,'By Lot - West Campus'!N933,'By Lot - West Campus'!N950,'By Lot - West Campus'!N968,'By Lot - West Campus'!N985,'By Lot - West Campus'!N1002,'By Lot - West Campus'!N1019, )</f>
        <v>18</v>
      </c>
      <c r="M125" s="31">
        <f>SUM('By Lot - West Campus'!O848,'By Lot - West Campus'!O865,'By Lot - West Campus'!O882,'By Lot - West Campus'!O899,'By Lot - West Campus'!O916,'By Lot - West Campus'!O933,'By Lot - West Campus'!O950,'By Lot - West Campus'!O968,'By Lot - West Campus'!O985,'By Lot - West Campus'!O1002,'By Lot - West Campus'!O1019, )</f>
        <v>19</v>
      </c>
      <c r="N125" s="32">
        <f t="shared" si="47"/>
        <v>9</v>
      </c>
      <c r="O125" s="6">
        <f t="shared" si="48"/>
        <v>11</v>
      </c>
      <c r="P125" s="59">
        <f t="shared" si="49"/>
        <v>0.55000000000000004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1.25" customHeight="1" x14ac:dyDescent="0.4">
      <c r="A126" s="17"/>
      <c r="B126" s="17" t="s">
        <v>309</v>
      </c>
      <c r="C126" s="17">
        <f>SUM('By Structure'!C46,'By Lot - West Campus'!E883:E888,'By Lot - West Campus'!E900:E905,
'By Lot - West Campus'!E917:E922,'By Lot - West Campus'!E934:E939, 'By Structure'!C57)</f>
        <v>92</v>
      </c>
      <c r="D126" s="32">
        <f>SUM('By Lot - West Campus'!F849:F854,'By Lot - West Campus'!F866:F871,'By Lot - West Campus'!F883:F888,'By Lot - West Campus'!F900:F905,'By Lot - West Campus'!F917:F922,'By Lot - West Campus'!F934:F939,'By Lot - West Campus'!F951:F956,'By Lot - West Campus'!F969:F974,'By Lot - West Campus'!F986:F991,'By Lot - West Campus'!F1003:F1008,'By Lot - West Campus'!F1020:F1025)</f>
        <v>61</v>
      </c>
      <c r="E126" s="6">
        <f>SUM('By Lot - West Campus'!G849:G854,'By Lot - West Campus'!G866:G871,'By Lot - West Campus'!G883:G888,'By Lot - West Campus'!G900:G905,'By Lot - West Campus'!G917:G922,'By Lot - West Campus'!G934:G939,'By Lot - West Campus'!G951:G956,'By Lot - West Campus'!G969:G974,'By Lot - West Campus'!G986:G991,'By Lot - West Campus'!G1003:G1008,'By Lot - West Campus'!G1020:G1025)</f>
        <v>37</v>
      </c>
      <c r="F126" s="6">
        <f>SUM('By Lot - West Campus'!H849:H854,'By Lot - West Campus'!H866:H871,'By Lot - West Campus'!H883:H888,'By Lot - West Campus'!H900:H905,'By Lot - West Campus'!H917:H922,'By Lot - West Campus'!H934:H939,'By Lot - West Campus'!H951:H956,'By Lot - West Campus'!H969:H974,'By Lot - West Campus'!H986:H991,'By Lot - West Campus'!H1003:H1008,'By Lot - West Campus'!H1020:H1025)</f>
        <v>27</v>
      </c>
      <c r="G126" s="6">
        <f>SUM('By Lot - West Campus'!I849:I854,'By Lot - West Campus'!I866:I871,'By Lot - West Campus'!I883:I888,'By Lot - West Campus'!I900:I905,'By Lot - West Campus'!I917:I922,'By Lot - West Campus'!I934:I939,'By Lot - West Campus'!I951:I956,'By Lot - West Campus'!I969:I974,'By Lot - West Campus'!I986:I991,'By Lot - West Campus'!I1003:I1008,'By Lot - West Campus'!I1020:I1025)</f>
        <v>19</v>
      </c>
      <c r="H126" s="6">
        <f>SUM('By Lot - West Campus'!J849:J854,'By Lot - West Campus'!J866:J871,'By Lot - West Campus'!J883:J888,'By Lot - West Campus'!J900:J905,'By Lot - West Campus'!J917:J922,'By Lot - West Campus'!J934:J939,'By Lot - West Campus'!J951:J956,'By Lot - West Campus'!J969:J974,'By Lot - West Campus'!J986:J991,'By Lot - West Campus'!J1003:J1008,'By Lot - West Campus'!J1020:J1025)</f>
        <v>23</v>
      </c>
      <c r="I126" s="6">
        <f>SUM('By Lot - West Campus'!K849:K854,'By Lot - West Campus'!K866:K871,'By Lot - West Campus'!K883:K888,'By Lot - West Campus'!K900:K905,'By Lot - West Campus'!K917:K922,'By Lot - West Campus'!K934:K939,'By Lot - West Campus'!K951:K956,'By Lot - West Campus'!K969:K974,'By Lot - West Campus'!K986:K991,'By Lot - West Campus'!K1003:K1008,'By Lot - West Campus'!K1020:K1025)</f>
        <v>23</v>
      </c>
      <c r="J126" s="6">
        <f>SUM('By Lot - West Campus'!L849:L854,'By Lot - West Campus'!L866:L871,'By Lot - West Campus'!L883:L888,'By Lot - West Campus'!L900:L905,'By Lot - West Campus'!L917:L922,'By Lot - West Campus'!L934:L939,'By Lot - West Campus'!L951:L956,'By Lot - West Campus'!L969:L974,'By Lot - West Campus'!L986:L991,'By Lot - West Campus'!L1003:L1008,'By Lot - West Campus'!L1020:L1025)</f>
        <v>22</v>
      </c>
      <c r="K126" s="6">
        <f>SUM('By Lot - West Campus'!M849:M854,'By Lot - West Campus'!M866:M871,'By Lot - West Campus'!M883:M888,'By Lot - West Campus'!M900:M905,'By Lot - West Campus'!M917:M922,'By Lot - West Campus'!M934:M939,'By Lot - West Campus'!M951:M956,'By Lot - West Campus'!M969:M974,'By Lot - West Campus'!M986:M991,'By Lot - West Campus'!M1003:M1008,'By Lot - West Campus'!M1020:M1025)</f>
        <v>44</v>
      </c>
      <c r="L126" s="6">
        <f>SUM('By Lot - West Campus'!N849:N854,'By Lot - West Campus'!N866:N871,'By Lot - West Campus'!N883:N888,'By Lot - West Campus'!N900:N905,'By Lot - West Campus'!N917:N922,'By Lot - West Campus'!N934:N939,'By Lot - West Campus'!N951:N956,'By Lot - West Campus'!N969:N974,'By Lot - West Campus'!N986:N991,'By Lot - West Campus'!N1003:N1008,'By Lot - West Campus'!N1020:N1025)</f>
        <v>48</v>
      </c>
      <c r="M126" s="31">
        <f>SUM('By Lot - West Campus'!O849:O854,'By Lot - West Campus'!O866:O871,'By Lot - West Campus'!O883:O888,'By Lot - West Campus'!O900:O905,'By Lot - West Campus'!O917:O922,'By Lot - West Campus'!O934:O939,'By Lot - West Campus'!O951:O956,'By Lot - West Campus'!O969:O974,'By Lot - West Campus'!O986:O991,'By Lot - West Campus'!O1003:O1008,'By Lot - West Campus'!O1020:O1025)</f>
        <v>63</v>
      </c>
      <c r="N126" s="32">
        <f t="shared" si="47"/>
        <v>19</v>
      </c>
      <c r="O126" s="6">
        <f t="shared" si="48"/>
        <v>73</v>
      </c>
      <c r="P126" s="59">
        <f t="shared" si="49"/>
        <v>0.79347826086956519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1.25" customHeight="1" x14ac:dyDescent="0.4">
      <c r="A127" s="17"/>
      <c r="B127" s="17" t="s">
        <v>310</v>
      </c>
      <c r="C127" s="17">
        <f>SUM('By Structure'!C47,'By Lot - West Campus'!E889,'By Lot - West Campus'!E906,
'By Lot - West Campus'!E923,'By Lot - West Campus'!E940, 'By Structure'!C58)</f>
        <v>29</v>
      </c>
      <c r="D127" s="32">
        <f>SUM('By Lot - West Campus'!F855,'By Lot - West Campus'!F872,'By Lot - West Campus'!F889,'By Lot - West Campus'!F906,'By Lot - West Campus'!F923,'By Lot - West Campus'!F940,'By Lot - West Campus'!F957,'By Lot - West Campus'!F975,'By Lot - West Campus'!F992,'By Lot - West Campus'!F1009,'By Lot - West Campus'!F1026)</f>
        <v>16</v>
      </c>
      <c r="E127" s="6">
        <f>SUM('By Lot - West Campus'!G855,'By Lot - West Campus'!G872,'By Lot - West Campus'!G889,'By Lot - West Campus'!G906,'By Lot - West Campus'!G923,'By Lot - West Campus'!G940,'By Lot - West Campus'!G957,'By Lot - West Campus'!G975,'By Lot - West Campus'!G992,'By Lot - West Campus'!G1009,'By Lot - West Campus'!G1026)</f>
        <v>14</v>
      </c>
      <c r="F127" s="6">
        <f>SUM('By Lot - West Campus'!H855,'By Lot - West Campus'!H872,'By Lot - West Campus'!H889,'By Lot - West Campus'!H906,'By Lot - West Campus'!H923,'By Lot - West Campus'!H940,'By Lot - West Campus'!H957,'By Lot - West Campus'!H975,'By Lot - West Campus'!H992,'By Lot - West Campus'!H1009,'By Lot - West Campus'!H1026)</f>
        <v>8</v>
      </c>
      <c r="G127" s="6">
        <f>SUM('By Lot - West Campus'!I855,'By Lot - West Campus'!I872,'By Lot - West Campus'!I889,'By Lot - West Campus'!I906,'By Lot - West Campus'!I923,'By Lot - West Campus'!I940,'By Lot - West Campus'!I957,'By Lot - West Campus'!I975,'By Lot - West Campus'!I992,'By Lot - West Campus'!I1009,'By Lot - West Campus'!I1026)</f>
        <v>6</v>
      </c>
      <c r="H127" s="6">
        <f>SUM('By Lot - West Campus'!J855,'By Lot - West Campus'!J872,'By Lot - West Campus'!J889,'By Lot - West Campus'!J906,'By Lot - West Campus'!J923,'By Lot - West Campus'!J940,'By Lot - West Campus'!J957,'By Lot - West Campus'!J975,'By Lot - West Campus'!J992,'By Lot - West Campus'!J1009,'By Lot - West Campus'!J1026)</f>
        <v>6</v>
      </c>
      <c r="I127" s="6">
        <f>SUM('By Lot - West Campus'!K855,'By Lot - West Campus'!K872,'By Lot - West Campus'!K889,'By Lot - West Campus'!K906,'By Lot - West Campus'!K923,'By Lot - West Campus'!K940,'By Lot - West Campus'!K957,'By Lot - West Campus'!K975,'By Lot - West Campus'!K992,'By Lot - West Campus'!K1009,'By Lot - West Campus'!K1026)</f>
        <v>5</v>
      </c>
      <c r="J127" s="6">
        <f>SUM('By Lot - West Campus'!L855,'By Lot - West Campus'!L872,'By Lot - West Campus'!L889,'By Lot - West Campus'!L906,'By Lot - West Campus'!L923,'By Lot - West Campus'!L940,'By Lot - West Campus'!L957,'By Lot - West Campus'!L975,'By Lot - West Campus'!L992,'By Lot - West Campus'!L1009,'By Lot - West Campus'!L1026)</f>
        <v>7</v>
      </c>
      <c r="K127" s="6">
        <f>SUM('By Lot - West Campus'!M855,'By Lot - West Campus'!M872,'By Lot - West Campus'!M889,'By Lot - West Campus'!M906,'By Lot - West Campus'!M923,'By Lot - West Campus'!M940,'By Lot - West Campus'!M957,'By Lot - West Campus'!M975,'By Lot - West Campus'!M992,'By Lot - West Campus'!M1009,'By Lot - West Campus'!M1026)</f>
        <v>18</v>
      </c>
      <c r="L127" s="6">
        <f>SUM('By Lot - West Campus'!N855,'By Lot - West Campus'!N872,'By Lot - West Campus'!N889,'By Lot - West Campus'!N906,'By Lot - West Campus'!N923,'By Lot - West Campus'!N940,'By Lot - West Campus'!N957,'By Lot - West Campus'!N975,'By Lot - West Campus'!N992,'By Lot - West Campus'!N1009,'By Lot - West Campus'!N1026)</f>
        <v>22</v>
      </c>
      <c r="M127" s="31">
        <f>SUM('By Lot - West Campus'!O855,'By Lot - West Campus'!O872,'By Lot - West Campus'!O889,'By Lot - West Campus'!O906,'By Lot - West Campus'!O923,'By Lot - West Campus'!O940,'By Lot - West Campus'!O957,'By Lot - West Campus'!O975,'By Lot - West Campus'!O992,'By Lot - West Campus'!O1009,'By Lot - West Campus'!O1026)</f>
        <v>25</v>
      </c>
      <c r="N127" s="32">
        <f t="shared" si="47"/>
        <v>5</v>
      </c>
      <c r="O127" s="6">
        <f t="shared" si="48"/>
        <v>24</v>
      </c>
      <c r="P127" s="59">
        <f t="shared" si="49"/>
        <v>0.82758620689655171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1.25" customHeight="1" x14ac:dyDescent="0.4">
      <c r="A128" s="17"/>
      <c r="B128" s="17" t="s">
        <v>311</v>
      </c>
      <c r="C128" s="17">
        <f>SUM('By Structure'!C48,'By Lot - West Campus'!E873,'By Lot - West Campus'!E890,'By Lot - West Campus'!E907,
'By Lot - West Campus'!E924,'By Lot - West Campus'!E941, 'By Structure'!C59)</f>
        <v>12</v>
      </c>
      <c r="D128" s="32">
        <f>SUM('By Lot - West Campus'!F856,'By Lot - West Campus'!F873,'By Lot - West Campus'!F890,'By Lot - West Campus'!F907,'By Lot - West Campus'!F924,'By Lot - West Campus'!F941,'By Lot - West Campus'!F958,'By Lot - West Campus'!F976,'By Lot - West Campus'!F993,'By Lot - West Campus'!F1010,'By Lot - West Campus'!F1027)</f>
        <v>5</v>
      </c>
      <c r="E128" s="6">
        <f>SUM('By Lot - West Campus'!G856,'By Lot - West Campus'!G873,'By Lot - West Campus'!G890,'By Lot - West Campus'!G907,'By Lot - West Campus'!G924,'By Lot - West Campus'!G941,'By Lot - West Campus'!G958,'By Lot - West Campus'!G976,'By Lot - West Campus'!G993,'By Lot - West Campus'!G1010,'By Lot - West Campus'!G1027)</f>
        <v>5</v>
      </c>
      <c r="F128" s="6">
        <f>SUM('By Lot - West Campus'!H856,'By Lot - West Campus'!H873,'By Lot - West Campus'!H890,'By Lot - West Campus'!H907,'By Lot - West Campus'!H924,'By Lot - West Campus'!H941,'By Lot - West Campus'!H958,'By Lot - West Campus'!H976,'By Lot - West Campus'!H993,'By Lot - West Campus'!H1010,'By Lot - West Campus'!H1027)</f>
        <v>3</v>
      </c>
      <c r="G128" s="6">
        <f>SUM('By Lot - West Campus'!I856,'By Lot - West Campus'!I873,'By Lot - West Campus'!I890,'By Lot - West Campus'!I907,'By Lot - West Campus'!I924,'By Lot - West Campus'!I941,'By Lot - West Campus'!I958,'By Lot - West Campus'!I976,'By Lot - West Campus'!I993,'By Lot - West Campus'!I1010,'By Lot - West Campus'!I1027)</f>
        <v>3</v>
      </c>
      <c r="H128" s="6">
        <f>SUM('By Lot - West Campus'!J856,'By Lot - West Campus'!J873,'By Lot - West Campus'!J890,'By Lot - West Campus'!J907,'By Lot - West Campus'!J924,'By Lot - West Campus'!J941,'By Lot - West Campus'!J958,'By Lot - West Campus'!J976,'By Lot - West Campus'!J993,'By Lot - West Campus'!J1010,'By Lot - West Campus'!J1027)</f>
        <v>4</v>
      </c>
      <c r="I128" s="6">
        <f>SUM('By Lot - West Campus'!K856,'By Lot - West Campus'!K873,'By Lot - West Campus'!K890,'By Lot - West Campus'!K907,'By Lot - West Campus'!K924,'By Lot - West Campus'!K941,'By Lot - West Campus'!K958,'By Lot - West Campus'!K976,'By Lot - West Campus'!K993,'By Lot - West Campus'!K1010,'By Lot - West Campus'!K1027)</f>
        <v>6</v>
      </c>
      <c r="J128" s="6">
        <f>SUM('By Lot - West Campus'!L856,'By Lot - West Campus'!L873,'By Lot - West Campus'!L890,'By Lot - West Campus'!L907,'By Lot - West Campus'!L924,'By Lot - West Campus'!L941,'By Lot - West Campus'!L958,'By Lot - West Campus'!L976,'By Lot - West Campus'!L993,'By Lot - West Campus'!L1010,'By Lot - West Campus'!L1027)</f>
        <v>8</v>
      </c>
      <c r="K128" s="6">
        <f>SUM('By Lot - West Campus'!M856,'By Lot - West Campus'!M873,'By Lot - West Campus'!M890,'By Lot - West Campus'!M907,'By Lot - West Campus'!M924,'By Lot - West Campus'!M941,'By Lot - West Campus'!M958,'By Lot - West Campus'!M976,'By Lot - West Campus'!M993,'By Lot - West Campus'!M1010,'By Lot - West Campus'!M1027)</f>
        <v>8</v>
      </c>
      <c r="L128" s="6">
        <f>SUM('By Lot - West Campus'!N856,'By Lot - West Campus'!N873,'By Lot - West Campus'!N890,'By Lot - West Campus'!N907,'By Lot - West Campus'!N924,'By Lot - West Campus'!N941,'By Lot - West Campus'!N958,'By Lot - West Campus'!N976,'By Lot - West Campus'!N993,'By Lot - West Campus'!N1010,'By Lot - West Campus'!N1027)</f>
        <v>5</v>
      </c>
      <c r="M128" s="31">
        <f>SUM('By Lot - West Campus'!O856,'By Lot - West Campus'!O873,'By Lot - West Campus'!O890,'By Lot - West Campus'!O907,'By Lot - West Campus'!O924,'By Lot - West Campus'!O941,'By Lot - West Campus'!O958,'By Lot - West Campus'!O976,'By Lot - West Campus'!O993,'By Lot - West Campus'!O1010,'By Lot - West Campus'!O1027)</f>
        <v>5</v>
      </c>
      <c r="N128" s="32">
        <f t="shared" si="47"/>
        <v>3</v>
      </c>
      <c r="O128" s="6">
        <f t="shared" si="48"/>
        <v>9</v>
      </c>
      <c r="P128" s="59">
        <f t="shared" si="49"/>
        <v>0.75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1.25" customHeight="1" x14ac:dyDescent="0.4">
      <c r="A129" s="17"/>
      <c r="B129" s="17" t="s">
        <v>312</v>
      </c>
      <c r="C129" s="17">
        <f>SUM( 'By Structure'!C49,'By Lot - West Campus'!E891,'By Lot - West Campus'!E908,
'By Lot - West Campus'!E925,'By Lot - West Campus'!E942, 'By Structure'!C60)</f>
        <v>1</v>
      </c>
      <c r="D129" s="32">
        <f>SUM( 'By Structure'!D49,'By Lot - West Campus'!F891,'By Lot - West Campus'!F908,
'By Lot - West Campus'!F925,'By Lot - West Campus'!F942, 'By Structure'!D60)</f>
        <v>1</v>
      </c>
      <c r="E129" s="6">
        <f>SUM( 'By Structure'!E49,'By Lot - West Campus'!G891,'By Lot - West Campus'!G908,
'By Lot - West Campus'!G925,'By Lot - West Campus'!G942, 'By Structure'!E60)</f>
        <v>1</v>
      </c>
      <c r="F129" s="6">
        <f>SUM( 'By Structure'!F49,'By Lot - West Campus'!H891,'By Lot - West Campus'!H908,
'By Lot - West Campus'!H925,'By Lot - West Campus'!H942, 'By Structure'!F60)</f>
        <v>1</v>
      </c>
      <c r="G129" s="6">
        <f>SUM( 'By Structure'!G49,'By Lot - West Campus'!I891,'By Lot - West Campus'!I908,
'By Lot - West Campus'!I925,'By Lot - West Campus'!I942, 'By Structure'!G60)</f>
        <v>0</v>
      </c>
      <c r="H129" s="6">
        <f>SUM( 'By Structure'!H49,'By Lot - West Campus'!J891,'By Lot - West Campus'!J908,
'By Lot - West Campus'!J925,'By Lot - West Campus'!J942, 'By Structure'!H60)</f>
        <v>0</v>
      </c>
      <c r="I129" s="6">
        <f>SUM( 'By Structure'!I49,'By Lot - West Campus'!K891,'By Lot - West Campus'!K908,
'By Lot - West Campus'!K925,'By Lot - West Campus'!K942, 'By Structure'!I60)</f>
        <v>0</v>
      </c>
      <c r="J129" s="6">
        <f>SUM( 'By Structure'!J49,'By Lot - West Campus'!L891,'By Lot - West Campus'!L908,
'By Lot - West Campus'!L925,'By Lot - West Campus'!L942, 'By Structure'!J60)</f>
        <v>1</v>
      </c>
      <c r="K129" s="6">
        <f>SUM( 'By Structure'!K49,'By Lot - West Campus'!M891,'By Lot - West Campus'!M908,
'By Lot - West Campus'!M925,'By Lot - West Campus'!M942, 'By Structure'!K60)</f>
        <v>1</v>
      </c>
      <c r="L129" s="6">
        <f>SUM( 'By Structure'!L49,'By Lot - West Campus'!N891,'By Lot - West Campus'!N908,
'By Lot - West Campus'!N925,'By Lot - West Campus'!N942, 'By Structure'!L60)</f>
        <v>1</v>
      </c>
      <c r="M129" s="31">
        <f>SUM( 'By Structure'!M49,'By Lot - West Campus'!O891,'By Lot - West Campus'!O908,
'By Lot - West Campus'!O925,'By Lot - West Campus'!O942, 'By Structure'!M60)</f>
        <v>1</v>
      </c>
      <c r="N129" s="32">
        <f t="shared" si="47"/>
        <v>0</v>
      </c>
      <c r="O129" s="6">
        <f t="shared" si="48"/>
        <v>1</v>
      </c>
      <c r="P129" s="59">
        <f t="shared" si="49"/>
        <v>1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1.25" customHeight="1" x14ac:dyDescent="0.4">
      <c r="A130" s="17"/>
      <c r="B130" s="32" t="s">
        <v>313</v>
      </c>
      <c r="C130" s="34">
        <f>SUM( 'By Structure'!C50,'By Lot - West Campus'!E892,'By Lot - West Campus'!E909,
'By Lot - West Campus'!E926,'By Lot - West Campus'!E943, 'By Structure'!C61)</f>
        <v>7</v>
      </c>
      <c r="D130" s="117">
        <f>SUM('By Lot - West Campus'!F858,'By Lot - West Campus'!F875,'By Lot - West Campus'!F892,'By Lot - West Campus'!F909,
'By Lot - West Campus'!F926,'By Lot - West Campus'!F943,'By Lot - West Campus'!F960:F961,'By Lot - West Campus'!F978,
'By Lot - West Campus'!F995,'By Lot - West Campus'!F1012,'By Lot - West Campus'!F1029)</f>
        <v>7</v>
      </c>
      <c r="E130" s="117">
        <f>SUM('By Lot - West Campus'!G858,'By Lot - West Campus'!G875,'By Lot - West Campus'!G892,'By Lot - West Campus'!G909,
'By Lot - West Campus'!G926,'By Lot - West Campus'!G943,'By Lot - West Campus'!G960:G961,'By Lot - West Campus'!G978,
'By Lot - West Campus'!G995,'By Lot - West Campus'!G1012,'By Lot - West Campus'!G1029)</f>
        <v>7</v>
      </c>
      <c r="F130" s="117">
        <f>SUM('By Lot - West Campus'!H858,'By Lot - West Campus'!H875,'By Lot - West Campus'!H892,'By Lot - West Campus'!H909,
'By Lot - West Campus'!H926,'By Lot - West Campus'!H943,'By Lot - West Campus'!H960:H961,'By Lot - West Campus'!H978,
'By Lot - West Campus'!H995,'By Lot - West Campus'!H1012,'By Lot - West Campus'!H1029)</f>
        <v>7</v>
      </c>
      <c r="G130" s="117">
        <f>SUM('By Lot - West Campus'!I858,'By Lot - West Campus'!I875,'By Lot - West Campus'!I892,'By Lot - West Campus'!I909,
'By Lot - West Campus'!I926,'By Lot - West Campus'!I943,'By Lot - West Campus'!I960:I961,'By Lot - West Campus'!I978,
'By Lot - West Campus'!I995,'By Lot - West Campus'!I1012,'By Lot - West Campus'!I1029)</f>
        <v>5</v>
      </c>
      <c r="H130" s="117">
        <f>SUM('By Lot - West Campus'!J858,'By Lot - West Campus'!J875,'By Lot - West Campus'!J892,'By Lot - West Campus'!J909,
'By Lot - West Campus'!J926,'By Lot - West Campus'!J943,'By Lot - West Campus'!J960:J961,'By Lot - West Campus'!J978,
'By Lot - West Campus'!J995,'By Lot - West Campus'!J1012,'By Lot - West Campus'!J1029)</f>
        <v>6</v>
      </c>
      <c r="I130" s="117">
        <f>SUM('By Lot - West Campus'!K858,'By Lot - West Campus'!K875,'By Lot - West Campus'!K892,'By Lot - West Campus'!K909,
'By Lot - West Campus'!K926,'By Lot - West Campus'!K943,'By Lot - West Campus'!K960:K961,'By Lot - West Campus'!K978,
'By Lot - West Campus'!K995,'By Lot - West Campus'!K1012,'By Lot - West Campus'!K1029)</f>
        <v>6</v>
      </c>
      <c r="J130" s="117">
        <f>SUM('By Lot - West Campus'!L858,'By Lot - West Campus'!L875,'By Lot - West Campus'!L892,'By Lot - West Campus'!L909,
'By Lot - West Campus'!L926,'By Lot - West Campus'!L943,'By Lot - West Campus'!L960:L961,'By Lot - West Campus'!L978,
'By Lot - West Campus'!L995,'By Lot - West Campus'!L1012,'By Lot - West Campus'!L1029)</f>
        <v>7</v>
      </c>
      <c r="K130" s="117">
        <f>SUM('By Lot - West Campus'!M858,'By Lot - West Campus'!M875,'By Lot - West Campus'!M892,'By Lot - West Campus'!M909,
'By Lot - West Campus'!M926,'By Lot - West Campus'!M943,'By Lot - West Campus'!M960:M961,'By Lot - West Campus'!M978,
'By Lot - West Campus'!M995,'By Lot - West Campus'!M1012,'By Lot - West Campus'!M1029)</f>
        <v>7</v>
      </c>
      <c r="L130" s="117">
        <f>SUM('By Lot - West Campus'!N858,'By Lot - West Campus'!N875,'By Lot - West Campus'!N892,'By Lot - West Campus'!N909,
'By Lot - West Campus'!N926,'By Lot - West Campus'!N943,'By Lot - West Campus'!N960:N961,'By Lot - West Campus'!N978,
'By Lot - West Campus'!N995,'By Lot - West Campus'!N1012,'By Lot - West Campus'!N1029)</f>
        <v>7</v>
      </c>
      <c r="M130" s="31">
        <f>SUM('By Lot - West Campus'!O858,'By Lot - West Campus'!O875,'By Lot - West Campus'!O892,'By Lot - West Campus'!O909,
'By Lot - West Campus'!O926,'By Lot - West Campus'!O943,'By Lot - West Campus'!O960:O961,'By Lot - West Campus'!O978,
'By Lot - West Campus'!O995,'By Lot - West Campus'!O1012,'By Lot - West Campus'!O1029)</f>
        <v>7</v>
      </c>
      <c r="N130" s="6">
        <f t="shared" si="47"/>
        <v>5</v>
      </c>
      <c r="O130" s="6">
        <f t="shared" si="48"/>
        <v>2</v>
      </c>
      <c r="P130" s="59">
        <f t="shared" si="49"/>
        <v>0.2857142857142857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1.25" customHeight="1" x14ac:dyDescent="0.4">
      <c r="A131" s="34"/>
      <c r="B131" s="65" t="s">
        <v>314</v>
      </c>
      <c r="C131" s="127">
        <f t="shared" ref="C131:M131" si="50">SUM(C120:C130)</f>
        <v>1520</v>
      </c>
      <c r="D131" s="118">
        <f t="shared" si="50"/>
        <v>790</v>
      </c>
      <c r="E131" s="119">
        <f t="shared" si="50"/>
        <v>728</v>
      </c>
      <c r="F131" s="119">
        <f t="shared" si="50"/>
        <v>685</v>
      </c>
      <c r="G131" s="119">
        <f t="shared" si="50"/>
        <v>679</v>
      </c>
      <c r="H131" s="119">
        <f t="shared" si="50"/>
        <v>704</v>
      </c>
      <c r="I131" s="119">
        <f t="shared" si="50"/>
        <v>723</v>
      </c>
      <c r="J131" s="119">
        <f t="shared" si="50"/>
        <v>765</v>
      </c>
      <c r="K131" s="119">
        <f t="shared" si="50"/>
        <v>847</v>
      </c>
      <c r="L131" s="119">
        <f t="shared" si="50"/>
        <v>900</v>
      </c>
      <c r="M131" s="129">
        <f t="shared" si="50"/>
        <v>982</v>
      </c>
      <c r="N131" s="104">
        <f t="shared" si="47"/>
        <v>679</v>
      </c>
      <c r="O131" s="128">
        <f t="shared" si="48"/>
        <v>841</v>
      </c>
      <c r="P131" s="72">
        <f t="shared" si="49"/>
        <v>0.55328947368421055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1.25" customHeight="1" x14ac:dyDescent="0.4">
      <c r="A132" s="15" t="s">
        <v>24</v>
      </c>
      <c r="B132" s="17" t="s">
        <v>300</v>
      </c>
      <c r="C132" s="17">
        <f>SUM('By Lot - West Campus'!E1303,'By Lot - West Campus'!E1440,'By Lot - West Campus'!E1474,
'By Lot - West Campus'!E1491,'By Lot - West Campus'!E1542,'By Lot - West Campus'!E1559,'By Lot - West Campus'!E1593)</f>
        <v>8</v>
      </c>
      <c r="D132" s="32">
        <f>SUM('By Lot - West Campus'!F1303,'By Lot - West Campus'!F1440,'By Lot - West Campus'!F1457,'By Lot - West Campus'!F1474,'By Lot - West Campus'!F1491,'By Lot - West Campus'!F1542,'By Lot - West Campus'!F1559,'By Lot - West Campus'!F1593)</f>
        <v>3</v>
      </c>
      <c r="E132" s="6">
        <f>SUM('By Lot - West Campus'!G1303,'By Lot - West Campus'!G1440,'By Lot - West Campus'!G1457,'By Lot - West Campus'!G1474,'By Lot - West Campus'!G1491,'By Lot - West Campus'!G1542,'By Lot - West Campus'!G1559,'By Lot - West Campus'!G1593)</f>
        <v>0</v>
      </c>
      <c r="F132" s="6">
        <f>SUM('By Lot - West Campus'!H1303,'By Lot - West Campus'!H1440,'By Lot - West Campus'!H1457,'By Lot - West Campus'!H1474,'By Lot - West Campus'!H1491,'By Lot - West Campus'!H1542,'By Lot - West Campus'!H1559,'By Lot - West Campus'!H1593)</f>
        <v>3</v>
      </c>
      <c r="G132" s="6">
        <f>SUM('By Lot - West Campus'!I1303,'By Lot - West Campus'!I1440,'By Lot - West Campus'!I1457,'By Lot - West Campus'!I1474,'By Lot - West Campus'!I1491,'By Lot - West Campus'!I1542,'By Lot - West Campus'!I1559,'By Lot - West Campus'!I1593)</f>
        <v>1</v>
      </c>
      <c r="H132" s="6">
        <f>SUM('By Lot - West Campus'!J1303,'By Lot - West Campus'!J1440,'By Lot - West Campus'!J1457,'By Lot - West Campus'!J1474,'By Lot - West Campus'!J1491,'By Lot - West Campus'!J1542,'By Lot - West Campus'!J1559,'By Lot - West Campus'!J1593)</f>
        <v>0</v>
      </c>
      <c r="I132" s="6">
        <f>SUM('By Lot - West Campus'!K1303,'By Lot - West Campus'!K1440,'By Lot - West Campus'!K1457,'By Lot - West Campus'!K1474,'By Lot - West Campus'!K1491,'By Lot - West Campus'!K1542,'By Lot - West Campus'!K1559,'By Lot - West Campus'!K1593)</f>
        <v>2</v>
      </c>
      <c r="J132" s="6">
        <f>SUM('By Lot - West Campus'!L1303,'By Lot - West Campus'!L1440,'By Lot - West Campus'!L1457,'By Lot - West Campus'!L1474,'By Lot - West Campus'!L1491,'By Lot - West Campus'!L1542,'By Lot - West Campus'!L1559,'By Lot - West Campus'!L1593)</f>
        <v>4</v>
      </c>
      <c r="K132" s="6">
        <f>SUM('By Lot - West Campus'!M1303,'By Lot - West Campus'!M1440,'By Lot - West Campus'!M1457,'By Lot - West Campus'!M1474,'By Lot - West Campus'!M1491,'By Lot - West Campus'!M1542,'By Lot - West Campus'!M1559,'By Lot - West Campus'!M1593)</f>
        <v>4</v>
      </c>
      <c r="L132" s="6">
        <f>SUM('By Lot - West Campus'!N1303,'By Lot - West Campus'!N1440,'By Lot - West Campus'!N1457,'By Lot - West Campus'!N1474,'By Lot - West Campus'!N1491,'By Lot - West Campus'!N1542,'By Lot - West Campus'!N1559,'By Lot - West Campus'!N1593)</f>
        <v>7</v>
      </c>
      <c r="M132" s="31">
        <f>SUM('By Lot - West Campus'!O1303,'By Lot - West Campus'!O1440,'By Lot - West Campus'!O1457,'By Lot - West Campus'!O1474,'By Lot - West Campus'!O1491,'By Lot - West Campus'!O1542,'By Lot - West Campus'!O1559,'By Lot - West Campus'!O1593)</f>
        <v>7</v>
      </c>
      <c r="N132" s="32">
        <f t="shared" si="47"/>
        <v>0</v>
      </c>
      <c r="O132" s="6">
        <f t="shared" si="48"/>
        <v>8</v>
      </c>
      <c r="P132" s="59">
        <f t="shared" si="49"/>
        <v>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1.25" customHeight="1" x14ac:dyDescent="0.4">
      <c r="A133" s="17" t="s">
        <v>33</v>
      </c>
      <c r="B133" s="17" t="s">
        <v>324</v>
      </c>
      <c r="C133" s="17">
        <f>'By Lot - West Campus'!E1457</f>
        <v>8</v>
      </c>
      <c r="D133" s="32">
        <f>'By Lot - West Campus'!F1457</f>
        <v>2</v>
      </c>
      <c r="E133" s="6">
        <f>'By Lot - West Campus'!G1457</f>
        <v>0</v>
      </c>
      <c r="F133" s="6">
        <f>'By Lot - West Campus'!H1457</f>
        <v>3</v>
      </c>
      <c r="G133" s="6">
        <f>'By Lot - West Campus'!I1457</f>
        <v>1</v>
      </c>
      <c r="H133" s="6">
        <f>'By Lot - West Campus'!J1457</f>
        <v>0</v>
      </c>
      <c r="I133" s="6">
        <f>'By Lot - West Campus'!K1457</f>
        <v>2</v>
      </c>
      <c r="J133" s="6">
        <f>'By Lot - West Campus'!L1457</f>
        <v>4</v>
      </c>
      <c r="K133" s="6">
        <f>'By Lot - West Campus'!M1457</f>
        <v>3</v>
      </c>
      <c r="L133" s="6">
        <f>'By Lot - West Campus'!N1457</f>
        <v>6</v>
      </c>
      <c r="M133" s="31">
        <f>'By Lot - West Campus'!O1457</f>
        <v>7</v>
      </c>
      <c r="N133" s="32">
        <f t="shared" si="47"/>
        <v>0</v>
      </c>
      <c r="O133" s="6">
        <f t="shared" si="48"/>
        <v>8</v>
      </c>
      <c r="P133" s="59">
        <f t="shared" si="49"/>
        <v>1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1.25" customHeight="1" x14ac:dyDescent="0.4">
      <c r="A134" s="17"/>
      <c r="B134" s="17" t="s">
        <v>301</v>
      </c>
      <c r="C134" s="17">
        <f>SUM('By Lot - West Campus'!E1304,'By Lot - West Campus'!E1441,'By Lot - West Campus'!E1458,'By Lot - West Campus'!E1475,
'By Lot - West Campus'!E1492,'By Lot - West Campus'!E1543,'By Lot - West Campus'!E1560,'By Lot - West Campus'!E1594)</f>
        <v>2</v>
      </c>
      <c r="D134" s="32">
        <f>SUM('By Lot - West Campus'!F1304,'By Lot - West Campus'!F1441,'By Lot - West Campus'!F1458,'By Lot - West Campus'!F1475,'By Lot - West Campus'!F1492,'By Lot - West Campus'!F1543,'By Lot - West Campus'!F1560,'By Lot - West Campus'!F1594)</f>
        <v>0</v>
      </c>
      <c r="E134" s="6">
        <f>SUM('By Lot - West Campus'!G1304,'By Lot - West Campus'!G1441,'By Lot - West Campus'!G1458,'By Lot - West Campus'!G1475,'By Lot - West Campus'!G1492,'By Lot - West Campus'!G1545,'By Lot - West Campus'!G1560,'By Lot - West Campus'!G1594)</f>
        <v>2</v>
      </c>
      <c r="F134" s="6">
        <f>SUM('By Lot - West Campus'!H1304,'By Lot - West Campus'!H1441,'By Lot - West Campus'!H1458,'By Lot - West Campus'!H1475,'By Lot - West Campus'!H1492,'By Lot - West Campus'!H1545,'By Lot - West Campus'!H1560,'By Lot - West Campus'!H1594)</f>
        <v>0</v>
      </c>
      <c r="G134" s="6">
        <f>SUM('By Lot - West Campus'!I1304,'By Lot - West Campus'!I1441,'By Lot - West Campus'!I1458,'By Lot - West Campus'!I1475,'By Lot - West Campus'!I1492,'By Lot - West Campus'!I1545,'By Lot - West Campus'!I1560,'By Lot - West Campus'!I1594)</f>
        <v>0</v>
      </c>
      <c r="H134" s="6">
        <f>SUM('By Lot - West Campus'!J1304,'By Lot - West Campus'!J1441,'By Lot - West Campus'!J1458,'By Lot - West Campus'!J1475,'By Lot - West Campus'!J1492,'By Lot - West Campus'!J1545,'By Lot - West Campus'!J1560,'By Lot - West Campus'!J1594)</f>
        <v>1</v>
      </c>
      <c r="I134" s="6">
        <f>SUM('By Lot - West Campus'!K1304,'By Lot - West Campus'!K1441,'By Lot - West Campus'!K1458,'By Lot - West Campus'!K1475,'By Lot - West Campus'!K1492,'By Lot - West Campus'!K1545,'By Lot - West Campus'!K1560,'By Lot - West Campus'!K1594)</f>
        <v>0</v>
      </c>
      <c r="J134" s="6">
        <f>SUM('By Lot - West Campus'!L1304,'By Lot - West Campus'!L1441,'By Lot - West Campus'!L1458,'By Lot - West Campus'!L1475,'By Lot - West Campus'!L1492,'By Lot - West Campus'!L1545,'By Lot - West Campus'!L1560,'By Lot - West Campus'!L1594)</f>
        <v>2</v>
      </c>
      <c r="K134" s="6">
        <f>SUM('By Lot - West Campus'!M1304,'By Lot - West Campus'!M1441,'By Lot - West Campus'!M1458,'By Lot - West Campus'!M1475,'By Lot - West Campus'!M1492,'By Lot - West Campus'!M1545,'By Lot - West Campus'!M1560,'By Lot - West Campus'!M1594)</f>
        <v>1</v>
      </c>
      <c r="L134" s="6">
        <f>SUM('By Lot - West Campus'!N1304,'By Lot - West Campus'!N1441,'By Lot - West Campus'!N1458,'By Lot - West Campus'!N1475,'By Lot - West Campus'!N1492,'By Lot - West Campus'!N1545,'By Lot - West Campus'!N1560,'By Lot - West Campus'!N1594)</f>
        <v>2</v>
      </c>
      <c r="M134" s="31">
        <f>SUM('By Lot - West Campus'!O1304,'By Lot - West Campus'!O1441,'By Lot - West Campus'!O1458,'By Lot - West Campus'!O1475,'By Lot - West Campus'!O1492,'By Lot - West Campus'!O1545,'By Lot - West Campus'!O1560,'By Lot - West Campus'!O1594)</f>
        <v>2</v>
      </c>
      <c r="N134" s="32">
        <f t="shared" si="47"/>
        <v>0</v>
      </c>
      <c r="O134" s="6">
        <f t="shared" si="48"/>
        <v>2</v>
      </c>
      <c r="P134" s="59">
        <f t="shared" si="49"/>
        <v>1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1.25" customHeight="1" x14ac:dyDescent="0.4">
      <c r="A135" s="17"/>
      <c r="B135" s="17" t="s">
        <v>303</v>
      </c>
      <c r="C135" s="17">
        <f>SUM('By Lot - West Campus'!E1305,'By Lot - West Campus'!E1442,'By Lot - West Campus'!E1459,'By Lot - West Campus'!E1476,
'By Lot - West Campus'!E1493,'By Lot - West Campus'!E1544,'By Lot - West Campus'!E1561,'By Lot - West Campus'!E1595)</f>
        <v>28</v>
      </c>
      <c r="D135" s="32">
        <f>SUM('By Lot - West Campus'!F1305,'By Lot - West Campus'!F1442,'By Lot - West Campus'!F1459,'By Lot - West Campus'!F1476,'By Lot - West Campus'!F1493,'By Lot - West Campus'!F1544,'By Lot - West Campus'!F1561,'By Lot - West Campus'!F1595)</f>
        <v>0</v>
      </c>
      <c r="E135" s="6">
        <f>SUM('By Lot - West Campus'!G1305,'By Lot - West Campus'!G1442,'By Lot - West Campus'!G1459,'By Lot - West Campus'!G1476,'By Lot - West Campus'!G1493,'By Lot - West Campus'!G1544,'By Lot - West Campus'!G1561,'By Lot - West Campus'!G1595)</f>
        <v>0</v>
      </c>
      <c r="F135" s="6">
        <f>SUM('By Lot - West Campus'!H1305,'By Lot - West Campus'!H1442,'By Lot - West Campus'!H1459,'By Lot - West Campus'!H1476,'By Lot - West Campus'!H1493,'By Lot - West Campus'!H1544,'By Lot - West Campus'!H1561,'By Lot - West Campus'!H1595)</f>
        <v>1</v>
      </c>
      <c r="G135" s="6">
        <f>SUM('By Lot - West Campus'!I1305,'By Lot - West Campus'!I1442,'By Lot - West Campus'!I1459,'By Lot - West Campus'!I1476,'By Lot - West Campus'!I1493,'By Lot - West Campus'!I1544,'By Lot - West Campus'!I1561,'By Lot - West Campus'!I1595)</f>
        <v>0</v>
      </c>
      <c r="H135" s="6">
        <f>SUM('By Lot - West Campus'!J1305,'By Lot - West Campus'!J1442,'By Lot - West Campus'!J1459,'By Lot - West Campus'!J1476,'By Lot - West Campus'!J1493,'By Lot - West Campus'!J1544,'By Lot - West Campus'!J1561,'By Lot - West Campus'!J1595)</f>
        <v>0</v>
      </c>
      <c r="I135" s="6">
        <f>SUM('By Lot - West Campus'!K1305,'By Lot - West Campus'!K1442,'By Lot - West Campus'!K1459,'By Lot - West Campus'!K1476,'By Lot - West Campus'!K1493,'By Lot - West Campus'!K1544,'By Lot - West Campus'!K1561,'By Lot - West Campus'!K1595)</f>
        <v>0</v>
      </c>
      <c r="J135" s="6">
        <f>SUM('By Lot - West Campus'!L1305,'By Lot - West Campus'!L1442,'By Lot - West Campus'!L1459,'By Lot - West Campus'!L1476,'By Lot - West Campus'!L1493,'By Lot - West Campus'!L1544,'By Lot - West Campus'!L1561,'By Lot - West Campus'!L1595)</f>
        <v>0</v>
      </c>
      <c r="K135" s="6">
        <f>SUM('By Lot - West Campus'!M1305,'By Lot - West Campus'!M1442,'By Lot - West Campus'!M1459,'By Lot - West Campus'!M1476,'By Lot - West Campus'!M1493,'By Lot - West Campus'!M1544,'By Lot - West Campus'!M1561,'By Lot - West Campus'!M1595)</f>
        <v>0</v>
      </c>
      <c r="L135" s="6">
        <f>SUM('By Lot - West Campus'!N1305,'By Lot - West Campus'!N1442,'By Lot - West Campus'!N1459,'By Lot - West Campus'!N1476,'By Lot - West Campus'!N1493,'By Lot - West Campus'!N1544,'By Lot - West Campus'!N1561,'By Lot - West Campus'!N1595)</f>
        <v>0</v>
      </c>
      <c r="M135" s="31">
        <f>SUM('By Lot - West Campus'!O1305,'By Lot - West Campus'!O1442,'By Lot - West Campus'!O1459,'By Lot - West Campus'!O1476,'By Lot - West Campus'!O1493,'By Lot - West Campus'!O1544,'By Lot - West Campus'!O1561,'By Lot - West Campus'!O1595)</f>
        <v>0</v>
      </c>
      <c r="N135" s="32">
        <f t="shared" si="47"/>
        <v>0</v>
      </c>
      <c r="O135" s="6">
        <f t="shared" si="48"/>
        <v>28</v>
      </c>
      <c r="P135" s="59">
        <f t="shared" si="49"/>
        <v>1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1.25" customHeight="1" x14ac:dyDescent="0.4">
      <c r="A136" s="17"/>
      <c r="B136" s="17" t="s">
        <v>307</v>
      </c>
      <c r="C136" s="17">
        <f>SUM('By Lot - West Campus'!E1306:E1307,'By Lot - West Campus'!E1443:E1444,'By Lot - West Campus'!E1460:E1461,'By Lot - West Campus'!E1477:E1478,
'By Lot - West Campus'!E1494:E1495,'By Lot - West Campus'!E1545:E1546,'By Lot - West Campus'!E1562:E1563,'By Lot - West Campus'!E1596:E1597)</f>
        <v>25</v>
      </c>
      <c r="D136" s="32">
        <f>SUM('By Lot - West Campus'!F1306:F1307,'By Lot - West Campus'!F1443:F1444,'By Lot - West Campus'!F1460:F1461,'By Lot - West Campus'!F1477:F1478,'By Lot - West Campus'!F1494:F1495,'By Lot - West Campus'!F1545:F1546,'By Lot - West Campus'!F1562:F1563,'By Lot - West Campus'!F1596:F1597)</f>
        <v>0</v>
      </c>
      <c r="E136" s="6">
        <f>SUM('By Lot - West Campus'!G1306:G1307,'By Lot - West Campus'!G1443:G1444,'By Lot - West Campus'!G1460:G1461,'By Lot - West Campus'!G1477:G1478,'By Lot - West Campus'!G1494:G1495,'By Lot - West Campus'!G1546,'By Lot - West Campus'!G1562:G1563,'By Lot - West Campus'!G1596:G1597)</f>
        <v>0</v>
      </c>
      <c r="F136" s="6">
        <f>SUM('By Lot - West Campus'!H1306:H1307,'By Lot - West Campus'!H1443:H1444,'By Lot - West Campus'!H1460:H1461,'By Lot - West Campus'!H1477:H1478,'By Lot - West Campus'!H1494:H1495,'By Lot - West Campus'!H1546,'By Lot - West Campus'!H1562:H1563,'By Lot - West Campus'!H1596:H1597)</f>
        <v>0</v>
      </c>
      <c r="G136" s="6">
        <f>SUM('By Lot - West Campus'!I1306:I1307,'By Lot - West Campus'!I1443:I1444,'By Lot - West Campus'!I1460:I1461,'By Lot - West Campus'!I1477:I1478,'By Lot - West Campus'!I1494:I1495,'By Lot - West Campus'!I1546,'By Lot - West Campus'!I1562:I1563,'By Lot - West Campus'!I1596:I1597)</f>
        <v>0</v>
      </c>
      <c r="H136" s="6">
        <f>SUM('By Lot - West Campus'!J1306:J1307,'By Lot - West Campus'!J1443:J1444,'By Lot - West Campus'!J1460:J1461,'By Lot - West Campus'!J1477:J1478,'By Lot - West Campus'!J1494:J1495,'By Lot - West Campus'!J1546,'By Lot - West Campus'!J1562:J1563,'By Lot - West Campus'!J1596:J1597)</f>
        <v>1</v>
      </c>
      <c r="I136" s="6">
        <f>SUM('By Lot - West Campus'!K1306:K1307,'By Lot - West Campus'!K1443:K1444,'By Lot - West Campus'!K1460:K1461,'By Lot - West Campus'!K1477:K1478,'By Lot - West Campus'!K1494:K1495,'By Lot - West Campus'!K1546,'By Lot - West Campus'!K1562:K1563,'By Lot - West Campus'!K1596:K1597)</f>
        <v>0</v>
      </c>
      <c r="J136" s="6">
        <f>SUM('By Lot - West Campus'!L1306:L1307,'By Lot - West Campus'!L1443:L1444,'By Lot - West Campus'!L1460:L1461,'By Lot - West Campus'!L1477:L1478,'By Lot - West Campus'!L1494:L1495,'By Lot - West Campus'!L1546,'By Lot - West Campus'!L1562:L1563,'By Lot - West Campus'!L1596:L1597)</f>
        <v>1</v>
      </c>
      <c r="K136" s="6">
        <f>SUM('By Lot - West Campus'!M1306:M1307,'By Lot - West Campus'!M1443:M1444,'By Lot - West Campus'!M1460:M1461,'By Lot - West Campus'!M1477:M1478,'By Lot - West Campus'!M1494:M1495,'By Lot - West Campus'!M1546,'By Lot - West Campus'!M1562:M1563,'By Lot - West Campus'!M1596:M1597)</f>
        <v>3</v>
      </c>
      <c r="L136" s="6">
        <f>SUM('By Lot - West Campus'!N1306:N1307,'By Lot - West Campus'!N1443:N1444,'By Lot - West Campus'!N1460:N1461,'By Lot - West Campus'!N1477:N1478,'By Lot - West Campus'!N1494:N1495,'By Lot - West Campus'!N1546,'By Lot - West Campus'!N1562:N1563,'By Lot - West Campus'!N1596:N1597)</f>
        <v>2</v>
      </c>
      <c r="M136" s="31">
        <f>SUM('By Lot - West Campus'!O1306:O1307,'By Lot - West Campus'!O1443:O1444,'By Lot - West Campus'!O1460:O1461,'By Lot - West Campus'!O1477:O1478,'By Lot - West Campus'!O1494:O1495,'By Lot - West Campus'!O1546,'By Lot - West Campus'!O1562:O1563,'By Lot - West Campus'!O1596:O1597)</f>
        <v>4</v>
      </c>
      <c r="N136" s="32">
        <f t="shared" si="47"/>
        <v>0</v>
      </c>
      <c r="O136" s="6">
        <f t="shared" si="48"/>
        <v>25</v>
      </c>
      <c r="P136" s="59">
        <f t="shared" si="49"/>
        <v>1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1.25" customHeight="1" x14ac:dyDescent="0.4">
      <c r="A137" s="17"/>
      <c r="B137" s="17" t="s">
        <v>308</v>
      </c>
      <c r="C137" s="17">
        <f>SUM('By Lot - West Campus'!E1308,'By Lot - West Campus'!E1445,'By Lot - West Campus'!E1462,'By Lot - West Campus'!E1479,
'By Lot - West Campus'!E1496,'By Lot - West Campus'!E1547,'By Lot - West Campus'!E1564,'By Lot - West Campus'!E1598)</f>
        <v>44</v>
      </c>
      <c r="D137" s="32">
        <f>SUM('By Lot - West Campus'!F1308,'By Lot - West Campus'!F1445,'By Lot - West Campus'!F1462,'By Lot - West Campus'!F1479,'By Lot - West Campus'!F1496,'By Lot - West Campus'!F1547,'By Lot - West Campus'!F1564,'By Lot - West Campus'!F1598)</f>
        <v>23</v>
      </c>
      <c r="E137" s="6">
        <f>SUM('By Lot - West Campus'!G1308,'By Lot - West Campus'!G1445,'By Lot - West Campus'!G1462,'By Lot - West Campus'!G1479,'By Lot - West Campus'!G1496,,'By Lot - West Campus'!G1564,'By Lot - West Campus'!G1598)</f>
        <v>11</v>
      </c>
      <c r="F137" s="6">
        <f>SUM('By Lot - West Campus'!H1308,'By Lot - West Campus'!H1445,'By Lot - West Campus'!H1462,'By Lot - West Campus'!H1479,'By Lot - West Campus'!H1496,,'By Lot - West Campus'!H1564,'By Lot - West Campus'!H1598)</f>
        <v>11</v>
      </c>
      <c r="G137" s="6">
        <f>SUM('By Lot - West Campus'!I1308,'By Lot - West Campus'!I1445,'By Lot - West Campus'!I1462,'By Lot - West Campus'!I1479,'By Lot - West Campus'!I1496,,'By Lot - West Campus'!I1564,'By Lot - West Campus'!I1598)</f>
        <v>13</v>
      </c>
      <c r="H137" s="6">
        <f>SUM('By Lot - West Campus'!J1308,'By Lot - West Campus'!J1445,'By Lot - West Campus'!J1462,'By Lot - West Campus'!J1479,'By Lot - West Campus'!J1496,,'By Lot - West Campus'!J1564,'By Lot - West Campus'!J1598)</f>
        <v>4</v>
      </c>
      <c r="I137" s="6">
        <f>SUM('By Lot - West Campus'!K1308,'By Lot - West Campus'!K1445,'By Lot - West Campus'!K1462,'By Lot - West Campus'!K1479,'By Lot - West Campus'!K1496,,'By Lot - West Campus'!K1564,'By Lot - West Campus'!K1598)</f>
        <v>4</v>
      </c>
      <c r="J137" s="6">
        <f>SUM('By Lot - West Campus'!L1308,'By Lot - West Campus'!L1445,'By Lot - West Campus'!L1462,'By Lot - West Campus'!L1479,'By Lot - West Campus'!L1496,,'By Lot - West Campus'!L1564,'By Lot - West Campus'!L1598)</f>
        <v>10</v>
      </c>
      <c r="K137" s="6">
        <f>SUM('By Lot - West Campus'!M1308,'By Lot - West Campus'!M1445,'By Lot - West Campus'!M1462,'By Lot - West Campus'!M1479,'By Lot - West Campus'!M1496,,'By Lot - West Campus'!M1564,'By Lot - West Campus'!M1598)</f>
        <v>13</v>
      </c>
      <c r="L137" s="6">
        <f>SUM('By Lot - West Campus'!N1308,'By Lot - West Campus'!N1445,'By Lot - West Campus'!N1462,'By Lot - West Campus'!N1479,'By Lot - West Campus'!N1496,,'By Lot - West Campus'!N1564,'By Lot - West Campus'!N1598)</f>
        <v>14</v>
      </c>
      <c r="M137" s="31">
        <f>SUM('By Lot - West Campus'!O1308,'By Lot - West Campus'!O1445,'By Lot - West Campus'!O1462,'By Lot - West Campus'!O1479,'By Lot - West Campus'!O1496,,'By Lot - West Campus'!O1564,'By Lot - West Campus'!O1598)</f>
        <v>20</v>
      </c>
      <c r="N137" s="32">
        <f t="shared" si="47"/>
        <v>4</v>
      </c>
      <c r="O137" s="6">
        <f t="shared" si="48"/>
        <v>40</v>
      </c>
      <c r="P137" s="59">
        <f t="shared" si="49"/>
        <v>0.90909090909090906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1.25" customHeight="1" x14ac:dyDescent="0.4">
      <c r="A138" s="17"/>
      <c r="B138" s="17" t="s">
        <v>309</v>
      </c>
      <c r="C138" s="17"/>
      <c r="D138" s="32"/>
      <c r="E138" s="6"/>
      <c r="F138" s="6"/>
      <c r="G138" s="6"/>
      <c r="H138" s="6"/>
      <c r="I138" s="6"/>
      <c r="J138" s="6"/>
      <c r="K138" s="6"/>
      <c r="L138" s="6"/>
      <c r="M138" s="31"/>
      <c r="N138" s="32"/>
      <c r="O138" s="6"/>
      <c r="P138" s="59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1.25" customHeight="1" x14ac:dyDescent="0.4">
      <c r="A139" s="17"/>
      <c r="B139" s="17" t="s">
        <v>310</v>
      </c>
      <c r="C139" s="17">
        <f>SUM('By Lot - West Campus'!E1315,'By Lot - West Campus'!E1452,'By Lot - West Campus'!E1469,'By Lot - West Campus'!E1486,
'By Lot - West Campus'!E1503,'By Lot - West Campus'!E1554,'By Lot - West Campus'!E1571,'By Lot - West Campus'!E1605)</f>
        <v>28</v>
      </c>
      <c r="D139" s="32">
        <f>SUM('By Lot - West Campus'!F1315,'By Lot - West Campus'!F1452,'By Lot - West Campus'!F1469,'By Lot - West Campus'!F1486,'By Lot - West Campus'!F1503,'By Lot - West Campus'!F1554,'By Lot - West Campus'!F1571,'By Lot - West Campus'!F1605)</f>
        <v>12</v>
      </c>
      <c r="E139" s="6">
        <f>SUM('By Lot - West Campus'!G1315,'By Lot - West Campus'!G1452,'By Lot - West Campus'!G1469,'By Lot - West Campus'!G1486,'By Lot - West Campus'!G1503,'By Lot - West Campus'!G1554,'By Lot - West Campus'!G1571,'By Lot - West Campus'!G1605)</f>
        <v>9</v>
      </c>
      <c r="F139" s="6">
        <f>SUM('By Lot - West Campus'!H1315,'By Lot - West Campus'!H1452,'By Lot - West Campus'!H1469,'By Lot - West Campus'!H1486,'By Lot - West Campus'!H1503,'By Lot - West Campus'!H1554,'By Lot - West Campus'!H1571,'By Lot - West Campus'!H1605)</f>
        <v>11</v>
      </c>
      <c r="G139" s="6">
        <f>SUM('By Lot - West Campus'!I1315,'By Lot - West Campus'!I1452,'By Lot - West Campus'!I1469,'By Lot - West Campus'!I1486,'By Lot - West Campus'!I1503,'By Lot - West Campus'!I1554,'By Lot - West Campus'!I1571,'By Lot - West Campus'!I1605)</f>
        <v>12</v>
      </c>
      <c r="H139" s="6">
        <f>SUM('By Lot - West Campus'!J1315,'By Lot - West Campus'!J1452,'By Lot - West Campus'!J1469,'By Lot - West Campus'!J1486,'By Lot - West Campus'!J1503,'By Lot - West Campus'!J1554,'By Lot - West Campus'!J1571,'By Lot - West Campus'!J1605)</f>
        <v>8</v>
      </c>
      <c r="I139" s="6">
        <f>SUM('By Lot - West Campus'!K1315,'By Lot - West Campus'!K1452,'By Lot - West Campus'!K1469,'By Lot - West Campus'!K1486,'By Lot - West Campus'!K1503,'By Lot - West Campus'!K1554,'By Lot - West Campus'!K1571,'By Lot - West Campus'!K1605)</f>
        <v>6</v>
      </c>
      <c r="J139" s="6">
        <f>SUM('By Lot - West Campus'!L1315,'By Lot - West Campus'!L1452,'By Lot - West Campus'!L1469,'By Lot - West Campus'!L1486,'By Lot - West Campus'!L1503,'By Lot - West Campus'!L1554,'By Lot - West Campus'!L1571,'By Lot - West Campus'!L1605)</f>
        <v>10</v>
      </c>
      <c r="K139" s="6">
        <f>SUM('By Lot - West Campus'!M1315,'By Lot - West Campus'!M1452,'By Lot - West Campus'!M1469,'By Lot - West Campus'!M1486,'By Lot - West Campus'!M1503,'By Lot - West Campus'!M1554,'By Lot - West Campus'!M1571,'By Lot - West Campus'!M1605)</f>
        <v>8</v>
      </c>
      <c r="L139" s="6">
        <f>SUM('By Lot - West Campus'!N1315,'By Lot - West Campus'!N1452,'By Lot - West Campus'!N1469,'By Lot - West Campus'!N1486,'By Lot - West Campus'!N1503,'By Lot - West Campus'!N1554,'By Lot - West Campus'!N1571,'By Lot - West Campus'!N1605)</f>
        <v>10</v>
      </c>
      <c r="M139" s="31">
        <f>SUM('By Lot - West Campus'!O1315,'By Lot - West Campus'!O1452,'By Lot - West Campus'!O1469,'By Lot - West Campus'!O1486,'By Lot - West Campus'!O1503,'By Lot - West Campus'!O1554,'By Lot - West Campus'!O1571,'By Lot - West Campus'!O1605)</f>
        <v>10</v>
      </c>
      <c r="N139" s="32">
        <f>MIN(D139:M139)</f>
        <v>6</v>
      </c>
      <c r="O139" s="6">
        <f>C139-N139</f>
        <v>22</v>
      </c>
      <c r="P139" s="59">
        <f>O139/C139</f>
        <v>0.7857142857142857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1.25" customHeight="1" x14ac:dyDescent="0.4">
      <c r="A140" s="17"/>
      <c r="B140" s="17" t="s">
        <v>311</v>
      </c>
      <c r="C140" s="17"/>
      <c r="D140" s="32"/>
      <c r="E140" s="6"/>
      <c r="F140" s="6"/>
      <c r="G140" s="6"/>
      <c r="H140" s="6"/>
      <c r="I140" s="6"/>
      <c r="J140" s="6"/>
      <c r="K140" s="6"/>
      <c r="L140" s="6"/>
      <c r="M140" s="31"/>
      <c r="N140" s="32"/>
      <c r="O140" s="6"/>
      <c r="P140" s="59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1.25" customHeight="1" x14ac:dyDescent="0.4">
      <c r="A141" s="17"/>
      <c r="B141" s="17" t="s">
        <v>312</v>
      </c>
      <c r="C141" s="17">
        <f>SUM('By Lot - West Campus'!E1317,'By Lot - West Campus'!E1454,'By Lot - West Campus'!E1471,'By Lot - West Campus'!E1488,
'By Lot - West Campus'!E1505,'By Lot - West Campus'!E1556,'By Lot - West Campus'!E1573,'By Lot - West Campus'!E1607)</f>
        <v>6</v>
      </c>
      <c r="D141" s="32">
        <f>SUM('By Lot - West Campus'!F1317,'By Lot - West Campus'!F1454,'By Lot - West Campus'!F1471,'By Lot - West Campus'!F1488,'By Lot - West Campus'!F1505,'By Lot - West Campus'!F1556,'By Lot - West Campus'!F1573,'By Lot - West Campus'!F1607)</f>
        <v>5</v>
      </c>
      <c r="E141" s="6">
        <f>SUM(,'By Lot - West Campus'!G1454,'By Lot - West Campus'!G1471,'By Lot - West Campus'!G1488,'By Lot - West Campus'!G1505,'By Lot - West Campus'!G1556,'By Lot - West Campus'!G1573,'By Lot - West Campus'!G1607)</f>
        <v>3</v>
      </c>
      <c r="F141" s="6">
        <f>SUM(,'By Lot - West Campus'!H1454,'By Lot - West Campus'!H1471,'By Lot - West Campus'!H1488,'By Lot - West Campus'!H1505,'By Lot - West Campus'!H1556,'By Lot - West Campus'!H1573,'By Lot - West Campus'!H1607)</f>
        <v>2</v>
      </c>
      <c r="G141" s="6">
        <f>SUM(,'By Lot - West Campus'!I1454,'By Lot - West Campus'!I1471,'By Lot - West Campus'!I1488,'By Lot - West Campus'!I1505,'By Lot - West Campus'!I1556,'By Lot - West Campus'!I1573,'By Lot - West Campus'!I1607)</f>
        <v>1</v>
      </c>
      <c r="H141" s="6">
        <f>SUM(,'By Lot - West Campus'!J1454,'By Lot - West Campus'!J1471,'By Lot - West Campus'!J1488,'By Lot - West Campus'!J1505,'By Lot - West Campus'!J1556,'By Lot - West Campus'!J1573,'By Lot - West Campus'!J1607)</f>
        <v>3</v>
      </c>
      <c r="I141" s="6">
        <f>SUM(,'By Lot - West Campus'!K1454,'By Lot - West Campus'!K1471,'By Lot - West Campus'!K1488,'By Lot - West Campus'!K1505,'By Lot - West Campus'!K1556,'By Lot - West Campus'!K1573,'By Lot - West Campus'!K1607)</f>
        <v>3</v>
      </c>
      <c r="J141" s="6">
        <f>SUM(,'By Lot - West Campus'!L1454,'By Lot - West Campus'!L1471,'By Lot - West Campus'!L1488,'By Lot - West Campus'!L1505,'By Lot - West Campus'!L1556,'By Lot - West Campus'!L1573,'By Lot - West Campus'!L1607)</f>
        <v>4</v>
      </c>
      <c r="K141" s="6">
        <f>SUM(,'By Lot - West Campus'!M1454,'By Lot - West Campus'!M1471,'By Lot - West Campus'!M1488,'By Lot - West Campus'!M1505,'By Lot - West Campus'!M1556,'By Lot - West Campus'!M1573,'By Lot - West Campus'!M1607)</f>
        <v>4</v>
      </c>
      <c r="L141" s="6">
        <f>SUM(,'By Lot - West Campus'!N1454,'By Lot - West Campus'!N1471,'By Lot - West Campus'!N1488,'By Lot - West Campus'!N1505,'By Lot - West Campus'!N1556,'By Lot - West Campus'!N1573,'By Lot - West Campus'!N1607)</f>
        <v>4</v>
      </c>
      <c r="M141" s="31">
        <f>SUM(,'By Lot - West Campus'!O1454,'By Lot - West Campus'!O1471,'By Lot - West Campus'!O1488,'By Lot - West Campus'!O1505,'By Lot - West Campus'!O1556,'By Lot - West Campus'!O1573,'By Lot - West Campus'!O1607)</f>
        <v>4</v>
      </c>
      <c r="N141" s="32">
        <f t="shared" ref="N141:N145" si="51">MIN(D141:M141)</f>
        <v>1</v>
      </c>
      <c r="O141" s="6">
        <f t="shared" ref="O141:O145" si="52">C141-N141</f>
        <v>5</v>
      </c>
      <c r="P141" s="59">
        <f t="shared" ref="P141:P145" si="53">O141/C141</f>
        <v>0.83333333333333337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1.25" customHeight="1" x14ac:dyDescent="0.4">
      <c r="A142" s="17"/>
      <c r="B142" s="17" t="s">
        <v>313</v>
      </c>
      <c r="C142" s="17">
        <f>SUM('By Lot - West Campus'!E1318,'By Lot - West Campus'!E1455,'By Lot - West Campus'!E1472,'By Lot - West Campus'!E1489,
'By Lot - West Campus'!E1506,'By Lot - West Campus'!E1557,'By Lot - West Campus'!E1574,'By Lot - West Campus'!E1608)</f>
        <v>6</v>
      </c>
      <c r="D142" s="32">
        <f>SUM('By Lot - West Campus'!F1318,'By Lot - West Campus'!F1455,'By Lot - West Campus'!F1472,'By Lot - West Campus'!F1489,'By Lot - West Campus'!F1506,'By Lot - West Campus'!F1557,'By Lot - West Campus'!F1574,'By Lot - West Campus'!F1608)</f>
        <v>4</v>
      </c>
      <c r="E142" s="6">
        <f>SUM('By Lot - West Campus'!G1317,'By Lot - West Campus'!G1455,'By Lot - West Campus'!G1472,'By Lot - West Campus'!G1489,'By Lot - West Campus'!G1506,'By Lot - West Campus'!G1557,'By Lot - West Campus'!G1574,'By Lot - West Campus'!G1608)</f>
        <v>3</v>
      </c>
      <c r="F142" s="6">
        <f>SUM('By Lot - West Campus'!H1317,'By Lot - West Campus'!H1455,'By Lot - West Campus'!H1472,'By Lot - West Campus'!H1489,'By Lot - West Campus'!H1506,'By Lot - West Campus'!H1557,'By Lot - West Campus'!H1574,'By Lot - West Campus'!H1608)</f>
        <v>5</v>
      </c>
      <c r="G142" s="6">
        <f>SUM('By Lot - West Campus'!I1317,'By Lot - West Campus'!I1455,'By Lot - West Campus'!I1472,'By Lot - West Campus'!I1489,'By Lot - West Campus'!I1506,'By Lot - West Campus'!I1557,'By Lot - West Campus'!I1574,'By Lot - West Campus'!I1608)</f>
        <v>0</v>
      </c>
      <c r="H142" s="6">
        <f>SUM('By Lot - West Campus'!J1317,'By Lot - West Campus'!J1455,'By Lot - West Campus'!J1472,'By Lot - West Campus'!J1489,'By Lot - West Campus'!J1506,'By Lot - West Campus'!J1557,'By Lot - West Campus'!J1574,'By Lot - West Campus'!J1608)</f>
        <v>0</v>
      </c>
      <c r="I142" s="6">
        <f>SUM('By Lot - West Campus'!K1317,'By Lot - West Campus'!K1455,'By Lot - West Campus'!K1472,'By Lot - West Campus'!K1489,'By Lot - West Campus'!K1506,'By Lot - West Campus'!K1557,'By Lot - West Campus'!K1574,'By Lot - West Campus'!K1608)</f>
        <v>0</v>
      </c>
      <c r="J142" s="6">
        <f>SUM('By Lot - West Campus'!L1317,'By Lot - West Campus'!L1455,'By Lot - West Campus'!L1472,'By Lot - West Campus'!L1489,'By Lot - West Campus'!L1506,'By Lot - West Campus'!L1557,'By Lot - West Campus'!L1574,'By Lot - West Campus'!L1608)</f>
        <v>3</v>
      </c>
      <c r="K142" s="6">
        <f>SUM('By Lot - West Campus'!M1317,'By Lot - West Campus'!M1455,'By Lot - West Campus'!M1472,'By Lot - West Campus'!M1489,'By Lot - West Campus'!M1506,'By Lot - West Campus'!M1557,'By Lot - West Campus'!M1574,'By Lot - West Campus'!M1608)</f>
        <v>3</v>
      </c>
      <c r="L142" s="6">
        <f>SUM('By Lot - West Campus'!N1317,'By Lot - West Campus'!N1455,'By Lot - West Campus'!N1472,'By Lot - West Campus'!N1489,'By Lot - West Campus'!N1506,'By Lot - West Campus'!N1557,'By Lot - West Campus'!N1574,'By Lot - West Campus'!N1608)</f>
        <v>3</v>
      </c>
      <c r="M142" s="31">
        <f>SUM('By Lot - West Campus'!O1317,'By Lot - West Campus'!O1455,'By Lot - West Campus'!O1472,'By Lot - West Campus'!O1489,'By Lot - West Campus'!O1506,'By Lot - West Campus'!O1557,'By Lot - West Campus'!O1574,'By Lot - West Campus'!O1608)</f>
        <v>3</v>
      </c>
      <c r="N142" s="32">
        <f t="shared" si="51"/>
        <v>0</v>
      </c>
      <c r="O142" s="6">
        <f t="shared" si="52"/>
        <v>6</v>
      </c>
      <c r="P142" s="59">
        <f t="shared" si="53"/>
        <v>1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1.25" customHeight="1" x14ac:dyDescent="0.4">
      <c r="A143" s="34"/>
      <c r="B143" s="65" t="s">
        <v>314</v>
      </c>
      <c r="C143" s="65">
        <f t="shared" ref="C143:M143" si="54">SUM(C132:C142)</f>
        <v>155</v>
      </c>
      <c r="D143" s="104">
        <f t="shared" si="54"/>
        <v>49</v>
      </c>
      <c r="E143" s="128">
        <f t="shared" si="54"/>
        <v>28</v>
      </c>
      <c r="F143" s="128">
        <f t="shared" si="54"/>
        <v>36</v>
      </c>
      <c r="G143" s="128">
        <f t="shared" si="54"/>
        <v>28</v>
      </c>
      <c r="H143" s="128">
        <f t="shared" si="54"/>
        <v>17</v>
      </c>
      <c r="I143" s="128">
        <f t="shared" si="54"/>
        <v>17</v>
      </c>
      <c r="J143" s="128">
        <f t="shared" si="54"/>
        <v>38</v>
      </c>
      <c r="K143" s="128">
        <f t="shared" si="54"/>
        <v>39</v>
      </c>
      <c r="L143" s="128">
        <f t="shared" si="54"/>
        <v>48</v>
      </c>
      <c r="M143" s="129">
        <f t="shared" si="54"/>
        <v>57</v>
      </c>
      <c r="N143" s="104">
        <f t="shared" si="51"/>
        <v>17</v>
      </c>
      <c r="O143" s="128">
        <f t="shared" si="52"/>
        <v>138</v>
      </c>
      <c r="P143" s="72">
        <f t="shared" si="53"/>
        <v>0.89032258064516134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1.25" customHeight="1" x14ac:dyDescent="0.4">
      <c r="A144" s="15" t="s">
        <v>4</v>
      </c>
      <c r="B144" s="17" t="s">
        <v>300</v>
      </c>
      <c r="C144" s="17">
        <f>SUM('By Lot - West Campus'!E1525,'By Lot - West Campus'!E1576)</f>
        <v>23</v>
      </c>
      <c r="D144" s="6">
        <f>SUM('By Lot - West Campus'!F1525,'By Lot - West Campus'!F1576)</f>
        <v>1</v>
      </c>
      <c r="E144" s="6">
        <f>SUM('By Lot - West Campus'!G1525,'By Lot - West Campus'!G1576)</f>
        <v>0</v>
      </c>
      <c r="F144" s="6">
        <f>SUM('By Lot - West Campus'!H1525,'By Lot - West Campus'!H1576)</f>
        <v>3</v>
      </c>
      <c r="G144" s="6">
        <f>SUM('By Lot - West Campus'!I1525,'By Lot - West Campus'!I1576)</f>
        <v>0</v>
      </c>
      <c r="H144" s="6">
        <f>SUM('By Lot - West Campus'!J1525,'By Lot - West Campus'!J1576)</f>
        <v>0</v>
      </c>
      <c r="I144" s="6">
        <f>SUM('By Lot - West Campus'!K1525,'By Lot - West Campus'!K1576)</f>
        <v>0</v>
      </c>
      <c r="J144" s="6">
        <f>SUM('By Lot - West Campus'!L1525,'By Lot - West Campus'!L1576)</f>
        <v>0</v>
      </c>
      <c r="K144" s="6">
        <f>SUM('By Lot - West Campus'!M1525,'By Lot - West Campus'!M1576)</f>
        <v>0</v>
      </c>
      <c r="L144" s="6">
        <f>SUM('By Lot - West Campus'!N1525,'By Lot - West Campus'!N1576)</f>
        <v>3</v>
      </c>
      <c r="M144" s="31">
        <f>SUM('By Lot - West Campus'!O1525,'By Lot - West Campus'!O1576)</f>
        <v>0</v>
      </c>
      <c r="N144" s="32">
        <f t="shared" si="51"/>
        <v>0</v>
      </c>
      <c r="O144" s="6">
        <f t="shared" si="52"/>
        <v>23</v>
      </c>
      <c r="P144" s="59">
        <f t="shared" si="53"/>
        <v>1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1.25" customHeight="1" x14ac:dyDescent="0.4">
      <c r="A145" s="17" t="s">
        <v>35</v>
      </c>
      <c r="B145" s="17" t="s">
        <v>301</v>
      </c>
      <c r="C145" s="17">
        <f>SUM('By Lot - West Campus'!E1526,'By Lot - West Campus'!E1577)</f>
        <v>229</v>
      </c>
      <c r="D145" s="6">
        <f>SUM('By Lot - West Campus'!F1526,'By Lot - West Campus'!F1577)</f>
        <v>0</v>
      </c>
      <c r="E145" s="6">
        <f>SUM('By Lot - West Campus'!G1526,'By Lot - West Campus'!G1577)</f>
        <v>0</v>
      </c>
      <c r="F145" s="6">
        <f>SUM('By Lot - West Campus'!H1526,'By Lot - West Campus'!H1577)</f>
        <v>0</v>
      </c>
      <c r="G145" s="6">
        <f>SUM('By Lot - West Campus'!I1526,'By Lot - West Campus'!I1577)</f>
        <v>0</v>
      </c>
      <c r="H145" s="6">
        <f>SUM('By Lot - West Campus'!J1526,'By Lot - West Campus'!J1577)</f>
        <v>2</v>
      </c>
      <c r="I145" s="6">
        <f>SUM('By Lot - West Campus'!K1526,'By Lot - West Campus'!K1577)</f>
        <v>0</v>
      </c>
      <c r="J145" s="6">
        <f>SUM('By Lot - West Campus'!L1526,'By Lot - West Campus'!L1577)</f>
        <v>0</v>
      </c>
      <c r="K145" s="6">
        <f>SUM('By Lot - West Campus'!M1526,'By Lot - West Campus'!M1577)</f>
        <v>18</v>
      </c>
      <c r="L145" s="6">
        <f>SUM('By Lot - West Campus'!N1526,'By Lot - West Campus'!N1577)</f>
        <v>15</v>
      </c>
      <c r="M145" s="31">
        <f>SUM('By Lot - West Campus'!O1526,'By Lot - West Campus'!O1577)</f>
        <v>0</v>
      </c>
      <c r="N145" s="32">
        <f t="shared" si="51"/>
        <v>0</v>
      </c>
      <c r="O145" s="6">
        <f t="shared" si="52"/>
        <v>229</v>
      </c>
      <c r="P145" s="59">
        <f t="shared" si="53"/>
        <v>1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1.25" customHeight="1" x14ac:dyDescent="0.4">
      <c r="A146" s="17" t="s">
        <v>41</v>
      </c>
      <c r="B146" s="17" t="s">
        <v>303</v>
      </c>
      <c r="C146" s="17"/>
      <c r="D146" s="6"/>
      <c r="E146" s="6"/>
      <c r="F146" s="6"/>
      <c r="G146" s="6"/>
      <c r="H146" s="6"/>
      <c r="I146" s="6"/>
      <c r="J146" s="6"/>
      <c r="K146" s="6"/>
      <c r="L146" s="6"/>
      <c r="M146" s="31"/>
      <c r="N146" s="32"/>
      <c r="O146" s="6"/>
      <c r="P146" s="59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1.25" customHeight="1" x14ac:dyDescent="0.4">
      <c r="A147" s="17"/>
      <c r="B147" s="17" t="s">
        <v>307</v>
      </c>
      <c r="C147" s="17">
        <f>SUM('By Lot - West Campus'!E1528:E1529,'By Lot - West Campus'!E1579:E1580)</f>
        <v>25</v>
      </c>
      <c r="D147" s="6">
        <f>SUM('By Lot - West Campus'!F1528:F1529,'By Lot - West Campus'!F1579:F1580)</f>
        <v>0</v>
      </c>
      <c r="E147" s="6">
        <f>SUM('By Lot - West Campus'!G1528:G1529,'By Lot - West Campus'!G1579:G1580)</f>
        <v>0</v>
      </c>
      <c r="F147" s="6">
        <f>SUM('By Lot - West Campus'!H1528:H1529,'By Lot - West Campus'!H1579:H1580)</f>
        <v>1</v>
      </c>
      <c r="G147" s="6">
        <f>SUM('By Lot - West Campus'!I1528:I1529,'By Lot - West Campus'!I1579:I1580)</f>
        <v>0</v>
      </c>
      <c r="H147" s="6">
        <f>SUM('By Lot - West Campus'!J1528:J1529,'By Lot - West Campus'!J1579:J1580)</f>
        <v>1</v>
      </c>
      <c r="I147" s="6">
        <f>SUM('By Lot - West Campus'!K1528:K1529,'By Lot - West Campus'!K1579:K1580)</f>
        <v>0</v>
      </c>
      <c r="J147" s="6">
        <f>SUM('By Lot - West Campus'!L1528:L1529,'By Lot - West Campus'!L1579:L1580)</f>
        <v>0</v>
      </c>
      <c r="K147" s="6">
        <f>SUM('By Lot - West Campus'!M1528:M1529,'By Lot - West Campus'!M1579:M1580)</f>
        <v>0</v>
      </c>
      <c r="L147" s="6">
        <f>SUM('By Lot - West Campus'!N1528:N1529,'By Lot - West Campus'!N1579:N1580)</f>
        <v>3</v>
      </c>
      <c r="M147" s="31">
        <f>SUM('By Lot - West Campus'!O1528:O1529,'By Lot - West Campus'!O1579:O1580)</f>
        <v>0</v>
      </c>
      <c r="N147" s="32">
        <f t="shared" ref="N147:N180" si="55">MIN(D147:M147)</f>
        <v>0</v>
      </c>
      <c r="O147" s="6">
        <f t="shared" ref="O147:O180" si="56">C147-N147</f>
        <v>25</v>
      </c>
      <c r="P147" s="59">
        <f t="shared" ref="P147:P178" si="57">O147/C147</f>
        <v>1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1.25" customHeight="1" x14ac:dyDescent="0.4">
      <c r="A148" s="17"/>
      <c r="B148" s="17" t="s">
        <v>308</v>
      </c>
      <c r="C148" s="17">
        <f>SUM('By Lot - West Campus'!E1530,'By Lot - West Campus'!E1581)</f>
        <v>3</v>
      </c>
      <c r="D148" s="6">
        <f>SUM('By Lot - West Campus'!F1530,'By Lot - West Campus'!F1581)</f>
        <v>3</v>
      </c>
      <c r="E148" s="6">
        <f>SUM('By Lot - West Campus'!G1530,'By Lot - West Campus'!G1581)</f>
        <v>1</v>
      </c>
      <c r="F148" s="6">
        <f>SUM('By Lot - West Campus'!H1530,'By Lot - West Campus'!H1581)</f>
        <v>2</v>
      </c>
      <c r="G148" s="6">
        <f>SUM('By Lot - West Campus'!I1530,'By Lot - West Campus'!I1581)</f>
        <v>2</v>
      </c>
      <c r="H148" s="6">
        <f>SUM('By Lot - West Campus'!J1530,'By Lot - West Campus'!J1581)</f>
        <v>1</v>
      </c>
      <c r="I148" s="6">
        <f>SUM('By Lot - West Campus'!K1530,'By Lot - West Campus'!K1581)</f>
        <v>1</v>
      </c>
      <c r="J148" s="6">
        <f>SUM('By Lot - West Campus'!L1530,'By Lot - West Campus'!L1581)</f>
        <v>2</v>
      </c>
      <c r="K148" s="6">
        <f>SUM('By Lot - West Campus'!M1530,'By Lot - West Campus'!M1581)</f>
        <v>2</v>
      </c>
      <c r="L148" s="6">
        <f>SUM('By Lot - West Campus'!N1530,'By Lot - West Campus'!N1581)</f>
        <v>2</v>
      </c>
      <c r="M148" s="31">
        <f>SUM('By Lot - West Campus'!O1530,'By Lot - West Campus'!O1581)</f>
        <v>0</v>
      </c>
      <c r="N148" s="32">
        <f t="shared" si="55"/>
        <v>0</v>
      </c>
      <c r="O148" s="6">
        <f t="shared" si="56"/>
        <v>3</v>
      </c>
      <c r="P148" s="59">
        <f t="shared" si="57"/>
        <v>1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1.25" customHeight="1" x14ac:dyDescent="0.4">
      <c r="A149" s="17"/>
      <c r="B149" s="17" t="s">
        <v>309</v>
      </c>
      <c r="C149" s="17">
        <f>SUM('By Lot - West Campus'!E1531:E1535,'By Lot - West Campus'!E1582:E1587)</f>
        <v>7</v>
      </c>
      <c r="D149" s="6">
        <f>SUM('By Lot - West Campus'!F1531:F1535,'By Lot - West Campus'!F1582:F1587)</f>
        <v>0</v>
      </c>
      <c r="E149" s="6">
        <f>SUM('By Lot - West Campus'!G1531:G1535,'By Lot - West Campus'!G1582:G1587)</f>
        <v>0</v>
      </c>
      <c r="F149" s="6">
        <f>SUM('By Lot - West Campus'!H1531:H1535,'By Lot - West Campus'!H1582:H1587)</f>
        <v>0</v>
      </c>
      <c r="G149" s="6">
        <f>SUM('By Lot - West Campus'!I1531:I1535,'By Lot - West Campus'!I1582:I1587)</f>
        <v>0</v>
      </c>
      <c r="H149" s="6">
        <f>SUM('By Lot - West Campus'!J1531:J1535,'By Lot - West Campus'!J1582:J1587)</f>
        <v>0</v>
      </c>
      <c r="I149" s="6">
        <f>SUM('By Lot - West Campus'!K1531:K1535,'By Lot - West Campus'!K1582:K1587)</f>
        <v>0</v>
      </c>
      <c r="J149" s="6">
        <f>SUM('By Lot - West Campus'!L1531:L1535,'By Lot - West Campus'!L1582:L1587)</f>
        <v>0</v>
      </c>
      <c r="K149" s="6">
        <f>SUM('By Lot - West Campus'!M1531:M1535,'By Lot - West Campus'!M1582:M1587)</f>
        <v>0</v>
      </c>
      <c r="L149" s="6">
        <f>SUM('By Lot - West Campus'!N1531:N1535,'By Lot - West Campus'!N1582:N1587)</f>
        <v>0</v>
      </c>
      <c r="M149" s="31">
        <f>SUM('By Lot - West Campus'!O1531:O1535,'By Lot - West Campus'!O1582:O1587)</f>
        <v>0</v>
      </c>
      <c r="N149" s="32">
        <f t="shared" si="55"/>
        <v>0</v>
      </c>
      <c r="O149" s="6">
        <f t="shared" si="56"/>
        <v>7</v>
      </c>
      <c r="P149" s="59">
        <f t="shared" si="57"/>
        <v>1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1.25" customHeight="1" x14ac:dyDescent="0.4">
      <c r="A150" s="17"/>
      <c r="B150" s="17" t="s">
        <v>310</v>
      </c>
      <c r="C150" s="17">
        <f>SUM('By Lot - West Campus'!E1537,'By Lot - West Campus'!E1588)</f>
        <v>9</v>
      </c>
      <c r="D150" s="6">
        <f>SUM('By Lot - West Campus'!F1537,'By Lot - West Campus'!F1588)</f>
        <v>0</v>
      </c>
      <c r="E150" s="6">
        <f>SUM('By Lot - West Campus'!G1537,'By Lot - West Campus'!G1588)</f>
        <v>0</v>
      </c>
      <c r="F150" s="6">
        <f>SUM('By Lot - West Campus'!H1537,'By Lot - West Campus'!H1588)</f>
        <v>0</v>
      </c>
      <c r="G150" s="6">
        <f>SUM('By Lot - West Campus'!I1537,'By Lot - West Campus'!I1588)</f>
        <v>0</v>
      </c>
      <c r="H150" s="6">
        <f>SUM('By Lot - West Campus'!J1537,'By Lot - West Campus'!J1588)</f>
        <v>0</v>
      </c>
      <c r="I150" s="6">
        <f>SUM('By Lot - West Campus'!K1537,'By Lot - West Campus'!K1588)</f>
        <v>0</v>
      </c>
      <c r="J150" s="6">
        <f>SUM('By Lot - West Campus'!L1537,'By Lot - West Campus'!L1588)</f>
        <v>0</v>
      </c>
      <c r="K150" s="6">
        <f>SUM('By Lot - West Campus'!M1537,'By Lot - West Campus'!M1588)</f>
        <v>0</v>
      </c>
      <c r="L150" s="6">
        <f>SUM('By Lot - West Campus'!N1537,'By Lot - West Campus'!N1588)</f>
        <v>0</v>
      </c>
      <c r="M150" s="31">
        <f>SUM('By Lot - West Campus'!O1537,'By Lot - West Campus'!O1588)</f>
        <v>0</v>
      </c>
      <c r="N150" s="32">
        <f t="shared" si="55"/>
        <v>0</v>
      </c>
      <c r="O150" s="6">
        <f t="shared" si="56"/>
        <v>9</v>
      </c>
      <c r="P150" s="59">
        <f t="shared" si="57"/>
        <v>1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1.25" customHeight="1" x14ac:dyDescent="0.4">
      <c r="A151" s="17"/>
      <c r="B151" s="17" t="s">
        <v>311</v>
      </c>
      <c r="C151" s="17">
        <f>SUM('By Lot - West Campus'!E1538,'By Lot - West Campus'!E1589)</f>
        <v>133</v>
      </c>
      <c r="D151" s="6">
        <f>SUM('By Lot - West Campus'!F1538,'By Lot - West Campus'!F1589)</f>
        <v>0</v>
      </c>
      <c r="E151" s="6">
        <f>SUM('By Lot - West Campus'!G1538,'By Lot - West Campus'!G1589)</f>
        <v>0</v>
      </c>
      <c r="F151" s="6">
        <f>SUM('By Lot - West Campus'!H1538,'By Lot - West Campus'!H1589)</f>
        <v>0</v>
      </c>
      <c r="G151" s="6">
        <f>SUM('By Lot - West Campus'!I1538,'By Lot - West Campus'!I1589)</f>
        <v>0</v>
      </c>
      <c r="H151" s="6">
        <f>SUM('By Lot - West Campus'!J1538,'By Lot - West Campus'!J1589)</f>
        <v>0</v>
      </c>
      <c r="I151" s="6">
        <f>SUM('By Lot - West Campus'!K1538,'By Lot - West Campus'!K1589)</f>
        <v>0</v>
      </c>
      <c r="J151" s="6">
        <f>SUM('By Lot - West Campus'!L1538,'By Lot - West Campus'!L1589)</f>
        <v>0</v>
      </c>
      <c r="K151" s="6">
        <f>SUM('By Lot - West Campus'!M1538,'By Lot - West Campus'!M1589)</f>
        <v>0</v>
      </c>
      <c r="L151" s="6">
        <f>SUM('By Lot - West Campus'!N1538,'By Lot - West Campus'!N1589)</f>
        <v>0</v>
      </c>
      <c r="M151" s="31">
        <f>SUM('By Lot - West Campus'!O1538,'By Lot - West Campus'!O1589)</f>
        <v>0</v>
      </c>
      <c r="N151" s="32">
        <f t="shared" si="55"/>
        <v>0</v>
      </c>
      <c r="O151" s="6">
        <f t="shared" si="56"/>
        <v>133</v>
      </c>
      <c r="P151" s="59">
        <f t="shared" si="57"/>
        <v>1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1.25" customHeight="1" x14ac:dyDescent="0.4">
      <c r="A152" s="17"/>
      <c r="B152" s="17" t="s">
        <v>312</v>
      </c>
      <c r="C152" s="17">
        <f>SUM('By Lot - West Campus'!E1539,'By Lot - West Campus'!E1590)</f>
        <v>9</v>
      </c>
      <c r="D152" s="6">
        <f>SUM(,'By Lot - West Campus'!F1590)</f>
        <v>1</v>
      </c>
      <c r="E152" s="6">
        <f>SUM(,'By Lot - West Campus'!G1590)</f>
        <v>0</v>
      </c>
      <c r="F152" s="6">
        <f>SUM('By Lot - West Campus'!G1539,'By Lot - West Campus'!H1590)</f>
        <v>1</v>
      </c>
      <c r="G152" s="6">
        <f>SUM('By Lot - West Campus'!H1539,'By Lot - West Campus'!I1590)</f>
        <v>1</v>
      </c>
      <c r="H152" s="6">
        <f>SUM('By Lot - West Campus'!I1539,'By Lot - West Campus'!J1590)</f>
        <v>1</v>
      </c>
      <c r="I152" s="6">
        <f>SUM('By Lot - West Campus'!J1539,'By Lot - West Campus'!K1590)</f>
        <v>1</v>
      </c>
      <c r="J152" s="6">
        <f>SUM('By Lot - West Campus'!K1539,'By Lot - West Campus'!L1590)</f>
        <v>1</v>
      </c>
      <c r="K152" s="6">
        <f>SUM('By Lot - West Campus'!L1539,'By Lot - West Campus'!M1590)</f>
        <v>1</v>
      </c>
      <c r="L152" s="6">
        <f>SUM('By Lot - West Campus'!M1539,'By Lot - West Campus'!N1590)</f>
        <v>1</v>
      </c>
      <c r="M152" s="31">
        <f>SUM('By Lot - West Campus'!N1539,'By Lot - West Campus'!O1590)</f>
        <v>0</v>
      </c>
      <c r="N152" s="32">
        <f t="shared" si="55"/>
        <v>0</v>
      </c>
      <c r="O152" s="6">
        <f t="shared" si="56"/>
        <v>9</v>
      </c>
      <c r="P152" s="59">
        <f t="shared" si="57"/>
        <v>1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1.25" customHeight="1" x14ac:dyDescent="0.4">
      <c r="A153" s="17"/>
      <c r="B153" s="17" t="s">
        <v>313</v>
      </c>
      <c r="C153" s="17">
        <f>SUM('By Lot - West Campus'!E1540,'By Lot - West Campus'!E1591)</f>
        <v>4</v>
      </c>
      <c r="D153" s="6">
        <f>SUM('By Lot - West Campus'!F1540,'By Lot - West Campus'!F1591)</f>
        <v>0</v>
      </c>
      <c r="E153" s="6">
        <f>SUM('By Lot - West Campus'!G1540,'By Lot - West Campus'!G1591)</f>
        <v>0</v>
      </c>
      <c r="F153" s="6">
        <f>SUM('By Lot - West Campus'!H1540,'By Lot - West Campus'!H1591)</f>
        <v>0</v>
      </c>
      <c r="G153" s="6">
        <f>SUM('By Lot - West Campus'!I1540,'By Lot - West Campus'!I1591)</f>
        <v>0</v>
      </c>
      <c r="H153" s="6">
        <f>SUM('By Lot - West Campus'!J1540,'By Lot - West Campus'!J1591)</f>
        <v>0</v>
      </c>
      <c r="I153" s="6">
        <f>SUM('By Lot - West Campus'!K1540,'By Lot - West Campus'!K1591)</f>
        <v>0</v>
      </c>
      <c r="J153" s="6">
        <f>SUM('By Lot - West Campus'!L1540,'By Lot - West Campus'!L1591)</f>
        <v>0</v>
      </c>
      <c r="K153" s="6">
        <f>SUM('By Lot - West Campus'!M1540,'By Lot - West Campus'!M1591)</f>
        <v>0</v>
      </c>
      <c r="L153" s="6">
        <f>SUM('By Lot - West Campus'!N1540,'By Lot - West Campus'!N1591)</f>
        <v>0</v>
      </c>
      <c r="M153" s="31">
        <f>SUM('By Lot - West Campus'!O1540,'By Lot - West Campus'!O1591)</f>
        <v>0</v>
      </c>
      <c r="N153" s="32">
        <f t="shared" si="55"/>
        <v>0</v>
      </c>
      <c r="O153" s="6">
        <f t="shared" si="56"/>
        <v>4</v>
      </c>
      <c r="P153" s="59">
        <f t="shared" si="57"/>
        <v>1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1.25" customHeight="1" x14ac:dyDescent="0.4">
      <c r="A154" s="34"/>
      <c r="B154" s="65" t="s">
        <v>314</v>
      </c>
      <c r="C154" s="65">
        <f t="shared" ref="C154:M154" si="58">SUM(C144:C153)</f>
        <v>442</v>
      </c>
      <c r="D154" s="104">
        <f t="shared" si="58"/>
        <v>5</v>
      </c>
      <c r="E154" s="128">
        <f t="shared" si="58"/>
        <v>1</v>
      </c>
      <c r="F154" s="128">
        <f t="shared" si="58"/>
        <v>7</v>
      </c>
      <c r="G154" s="128">
        <f t="shared" si="58"/>
        <v>3</v>
      </c>
      <c r="H154" s="128">
        <f t="shared" si="58"/>
        <v>5</v>
      </c>
      <c r="I154" s="128">
        <f t="shared" si="58"/>
        <v>2</v>
      </c>
      <c r="J154" s="128">
        <f t="shared" si="58"/>
        <v>3</v>
      </c>
      <c r="K154" s="128">
        <f t="shared" si="58"/>
        <v>21</v>
      </c>
      <c r="L154" s="128">
        <f t="shared" si="58"/>
        <v>24</v>
      </c>
      <c r="M154" s="129">
        <f t="shared" si="58"/>
        <v>0</v>
      </c>
      <c r="N154" s="104">
        <f t="shared" si="55"/>
        <v>0</v>
      </c>
      <c r="O154" s="128">
        <f t="shared" si="56"/>
        <v>442</v>
      </c>
      <c r="P154" s="72">
        <f t="shared" si="57"/>
        <v>1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1.25" customHeight="1" x14ac:dyDescent="0.4">
      <c r="A155" s="73" t="s">
        <v>25</v>
      </c>
      <c r="B155" s="17" t="s">
        <v>300</v>
      </c>
      <c r="C155" s="17">
        <f>SUM('By Lot - West Campus'!E1031,'By Lot - West Campus'!E1065,'By Lot - West Campus'!E1082,'By Lot - West Campus'!E1116,'By Lot - West Campus'!E1133,'By Lot - West Campus'!E1320,'By Lot - West Campus'!E1337,'By Lot - West Campus'!E1356,'By Lot - West Campus'!E1372,'By Lot - West Campus'!E1389,'By Lot - West Campus'!E1406,'By Lot - West Campus'!E1508)</f>
        <v>404</v>
      </c>
      <c r="D155" s="32">
        <f>SUM('By Lot - West Campus'!F1031,'By Lot - West Campus'!F1065,'By Lot - West Campus'!F1082,'By Lot - West Campus'!F1116,'By Lot - West Campus'!F1133,'By Lot - West Campus'!F1320,'By Lot - West Campus'!F1337,'By Lot - West Campus'!F1356,'By Lot - West Campus'!F1372,'By Lot - West Campus'!F1389,'By Lot - West Campus'!F1406,'By Lot - West Campus'!F1508)</f>
        <v>226</v>
      </c>
      <c r="E155" s="6">
        <f>SUM('By Lot - West Campus'!G1031,'By Lot - West Campus'!G1065,'By Lot - West Campus'!G1082,'By Lot - West Campus'!G1116,'By Lot - West Campus'!G1133,'By Lot - West Campus'!G1320,'By Lot - West Campus'!G1337,'By Lot - West Campus'!G1356,'By Lot - West Campus'!G1372,'By Lot - West Campus'!G1389,'By Lot - West Campus'!G1406,'By Lot - West Campus'!G1508)</f>
        <v>35</v>
      </c>
      <c r="F155" s="6">
        <f>SUM('By Lot - West Campus'!H1031,'By Lot - West Campus'!H1065,'By Lot - West Campus'!H1082,'By Lot - West Campus'!H1116,'By Lot - West Campus'!H1133,'By Lot - West Campus'!H1320,'By Lot - West Campus'!H1337,'By Lot - West Campus'!H1356,'By Lot - West Campus'!H1372,'By Lot - West Campus'!H1389,'By Lot - West Campus'!H1406,'By Lot - West Campus'!H1508)</f>
        <v>0</v>
      </c>
      <c r="G155" s="6">
        <f>SUM('By Lot - West Campus'!I1031,'By Lot - West Campus'!I1065,'By Lot - West Campus'!I1082,'By Lot - West Campus'!I1116,'By Lot - West Campus'!I1133,'By Lot - West Campus'!I1320,'By Lot - West Campus'!I1337,'By Lot - West Campus'!I1356,'By Lot - West Campus'!I1372,'By Lot - West Campus'!I1389,'By Lot - West Campus'!I1406,'By Lot - West Campus'!I1508)</f>
        <v>0</v>
      </c>
      <c r="H155" s="6">
        <f>SUM('By Lot - West Campus'!J1031,'By Lot - West Campus'!J1065,'By Lot - West Campus'!J1082,'By Lot - West Campus'!J1116,'By Lot - West Campus'!J1133,'By Lot - West Campus'!J1320,'By Lot - West Campus'!J1337,'By Lot - West Campus'!J1356,'By Lot - West Campus'!J1372,'By Lot - West Campus'!J1389,'By Lot - West Campus'!J1406,'By Lot - West Campus'!J1508)</f>
        <v>1</v>
      </c>
      <c r="I155" s="6">
        <f>SUM('By Lot - West Campus'!K1031,'By Lot - West Campus'!K1065,'By Lot - West Campus'!K1082,'By Lot - West Campus'!K1116,'By Lot - West Campus'!K1133,'By Lot - West Campus'!K1320,'By Lot - West Campus'!K1337,'By Lot - West Campus'!K1356,'By Lot - West Campus'!K1372,'By Lot - West Campus'!K1389,'By Lot - West Campus'!K1406,'By Lot - West Campus'!K1508)</f>
        <v>2</v>
      </c>
      <c r="J155" s="6">
        <f>SUM('By Lot - West Campus'!L1031,'By Lot - West Campus'!L1065,'By Lot - West Campus'!L1082,'By Lot - West Campus'!L1116,'By Lot - West Campus'!L1133,'By Lot - West Campus'!L1320,'By Lot - West Campus'!L1337,'By Lot - West Campus'!L1356,'By Lot - West Campus'!L1372,'By Lot - West Campus'!L1389,'By Lot - West Campus'!L1406,'By Lot - West Campus'!L1508)</f>
        <v>4</v>
      </c>
      <c r="K155" s="6">
        <f>SUM('By Lot - West Campus'!M1031,'By Lot - West Campus'!M1065,'By Lot - West Campus'!M1082,'By Lot - West Campus'!M1116,'By Lot - West Campus'!M1133,'By Lot - West Campus'!M1320,'By Lot - West Campus'!M1337,'By Lot - West Campus'!M1356,'By Lot - West Campus'!M1372,'By Lot - West Campus'!M1389,'By Lot - West Campus'!M1406,'By Lot - West Campus'!M1508)</f>
        <v>4</v>
      </c>
      <c r="L155" s="6">
        <f>SUM('By Lot - West Campus'!N1031,'By Lot - West Campus'!N1065,'By Lot - West Campus'!N1082,'By Lot - West Campus'!N1116,'By Lot - West Campus'!N1133,'By Lot - West Campus'!N1320,'By Lot - West Campus'!N1337,'By Lot - West Campus'!N1356,'By Lot - West Campus'!N1372,'By Lot - West Campus'!N1389,'By Lot - West Campus'!N1406,'By Lot - West Campus'!N1508)</f>
        <v>29</v>
      </c>
      <c r="M155" s="31">
        <f>SUM('By Lot - West Campus'!O1031,'By Lot - West Campus'!O1065,'By Lot - West Campus'!O1082,'By Lot - West Campus'!O1116,'By Lot - West Campus'!O1133,'By Lot - West Campus'!O1320,'By Lot - West Campus'!O1337,'By Lot - West Campus'!O1356,'By Lot - West Campus'!O1372,'By Lot - West Campus'!O1389,'By Lot - West Campus'!O1406,'By Lot - West Campus'!O1508)</f>
        <v>51</v>
      </c>
      <c r="N155" s="32">
        <f t="shared" si="55"/>
        <v>0</v>
      </c>
      <c r="O155" s="6">
        <f t="shared" si="56"/>
        <v>404</v>
      </c>
      <c r="P155" s="59">
        <f t="shared" si="57"/>
        <v>1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1.25" customHeight="1" x14ac:dyDescent="0.4">
      <c r="A156" s="32" t="s">
        <v>33</v>
      </c>
      <c r="B156" s="17" t="s">
        <v>325</v>
      </c>
      <c r="C156" s="17">
        <f>'By Lot - West Campus'!E1048</f>
        <v>4</v>
      </c>
      <c r="D156" s="32">
        <f>'By Lot - West Campus'!F1048</f>
        <v>1</v>
      </c>
      <c r="E156" s="6">
        <f>'By Lot - West Campus'!G1048</f>
        <v>1</v>
      </c>
      <c r="F156" s="6">
        <f>'By Lot - West Campus'!H1048</f>
        <v>0</v>
      </c>
      <c r="G156" s="6">
        <f>'By Lot - West Campus'!I1048</f>
        <v>1</v>
      </c>
      <c r="H156" s="6">
        <f>'By Lot - West Campus'!J1048</f>
        <v>0</v>
      </c>
      <c r="I156" s="6">
        <f>'By Lot - West Campus'!K1048</f>
        <v>0</v>
      </c>
      <c r="J156" s="6">
        <f>'By Lot - West Campus'!L1048</f>
        <v>1</v>
      </c>
      <c r="K156" s="6">
        <f>'By Lot - West Campus'!M1048</f>
        <v>1</v>
      </c>
      <c r="L156" s="6">
        <f>'By Lot - West Campus'!N1048</f>
        <v>2</v>
      </c>
      <c r="M156" s="31">
        <f>'By Lot - West Campus'!O1048</f>
        <v>3</v>
      </c>
      <c r="N156" s="32">
        <f t="shared" si="55"/>
        <v>0</v>
      </c>
      <c r="O156" s="6">
        <f t="shared" si="56"/>
        <v>4</v>
      </c>
      <c r="P156" s="59">
        <f t="shared" si="57"/>
        <v>1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1.25" customHeight="1" x14ac:dyDescent="0.4">
      <c r="A157" s="32"/>
      <c r="B157" s="17" t="s">
        <v>301</v>
      </c>
      <c r="C157" s="17">
        <f>SUM('By Lot - West Campus'!E1032,'By Lot - West Campus'!E1049,'By Lot - West Campus'!E1066,'By Lot - West Campus'!E1083,'By Lot - West Campus'!E1117,'By Lot - West Campus'!E1134,'By Lot - West Campus'!E1321,'By Lot - West Campus'!E1338,'By Lot - West Campus'!E1357,'By Lot - West Campus'!E1373,'By Lot - West Campus'!E1390,'By Lot - West Campus'!E1407,'By Lot - West Campus'!E1509)</f>
        <v>232</v>
      </c>
      <c r="D157" s="32">
        <f>SUM('By Lot - West Campus'!F1032,'By Lot - West Campus'!F1049,'By Lot - West Campus'!F1066,'By Lot - West Campus'!F1083,'By Lot - West Campus'!F1117,'By Lot - West Campus'!F1134,'By Lot - West Campus'!F1321,'By Lot - West Campus'!F1338,'By Lot - West Campus'!F1357,'By Lot - West Campus'!F1373,'By Lot - West Campus'!F1390,'By Lot - West Campus'!F1407,'By Lot - West Campus'!F1509)</f>
        <v>2</v>
      </c>
      <c r="E157" s="6">
        <f>SUM('By Lot - West Campus'!G1032,'By Lot - West Campus'!G1049,'By Lot - West Campus'!G1066,'By Lot - West Campus'!G1083,'By Lot - West Campus'!G1117,'By Lot - West Campus'!G1134,'By Lot - West Campus'!G1321,'By Lot - West Campus'!G1338,'By Lot - West Campus'!G1357,'By Lot - West Campus'!G1373,'By Lot - West Campus'!G1390,'By Lot - West Campus'!G1407,'By Lot - West Campus'!G1509)</f>
        <v>1</v>
      </c>
      <c r="F157" s="6">
        <f>SUM('By Lot - West Campus'!H1032,'By Lot - West Campus'!H1049,'By Lot - West Campus'!H1066,'By Lot - West Campus'!H1083,'By Lot - West Campus'!H1117,'By Lot - West Campus'!H1134,'By Lot - West Campus'!H1321,'By Lot - West Campus'!H1338,'By Lot - West Campus'!H1357,'By Lot - West Campus'!H1373,'By Lot - West Campus'!H1390,'By Lot - West Campus'!H1407,'By Lot - West Campus'!H1509)</f>
        <v>3</v>
      </c>
      <c r="G157" s="6">
        <f>SUM('By Lot - West Campus'!I1032,'By Lot - West Campus'!I1049,'By Lot - West Campus'!I1066,'By Lot - West Campus'!I1083,'By Lot - West Campus'!I1117,'By Lot - West Campus'!I1134,'By Lot - West Campus'!I1321,'By Lot - West Campus'!I1338,'By Lot - West Campus'!I1357,'By Lot - West Campus'!I1373,'By Lot - West Campus'!I1390,'By Lot - West Campus'!I1407,'By Lot - West Campus'!I1509)</f>
        <v>3</v>
      </c>
      <c r="H157" s="6">
        <f>SUM('By Lot - West Campus'!J1032,'By Lot - West Campus'!J1049,'By Lot - West Campus'!J1066,'By Lot - West Campus'!J1083,'By Lot - West Campus'!J1117,'By Lot - West Campus'!J1134,'By Lot - West Campus'!J1321,'By Lot - West Campus'!J1338,'By Lot - West Campus'!J1357,'By Lot - West Campus'!J1373,'By Lot - West Campus'!J1390,'By Lot - West Campus'!J1407,'By Lot - West Campus'!J1509)</f>
        <v>2</v>
      </c>
      <c r="I157" s="6">
        <f>SUM('By Lot - West Campus'!K1032,'By Lot - West Campus'!K1049,'By Lot - West Campus'!K1066,'By Lot - West Campus'!K1083,'By Lot - West Campus'!K1117,'By Lot - West Campus'!K1134,'By Lot - West Campus'!K1321,'By Lot - West Campus'!K1338,'By Lot - West Campus'!K1357,'By Lot - West Campus'!K1373,'By Lot - West Campus'!K1390,'By Lot - West Campus'!K1407,'By Lot - West Campus'!K1509)</f>
        <v>1</v>
      </c>
      <c r="J157" s="6">
        <f>SUM('By Lot - West Campus'!L1032,'By Lot - West Campus'!L1049,'By Lot - West Campus'!L1066,'By Lot - West Campus'!L1083,'By Lot - West Campus'!L1117,'By Lot - West Campus'!L1134,'By Lot - West Campus'!L1321,'By Lot - West Campus'!L1338,'By Lot - West Campus'!L1357,'By Lot - West Campus'!L1373,'By Lot - West Campus'!L1390,'By Lot - West Campus'!L1407,'By Lot - West Campus'!L1509)</f>
        <v>3</v>
      </c>
      <c r="K157" s="6">
        <f>SUM('By Lot - West Campus'!M1032,'By Lot - West Campus'!M1049,'By Lot - West Campus'!M1066,'By Lot - West Campus'!M1083,'By Lot - West Campus'!M1117,'By Lot - West Campus'!M1134,'By Lot - West Campus'!M1321,'By Lot - West Campus'!M1338,'By Lot - West Campus'!M1357,'By Lot - West Campus'!M1373,'By Lot - West Campus'!M1390,'By Lot - West Campus'!M1407,'By Lot - West Campus'!M1509)</f>
        <v>22</v>
      </c>
      <c r="L157" s="6">
        <f>SUM('By Lot - West Campus'!N1032,'By Lot - West Campus'!N1049,'By Lot - West Campus'!N1066,'By Lot - West Campus'!N1083,'By Lot - West Campus'!N1117,'By Lot - West Campus'!N1134,'By Lot - West Campus'!N1321,'By Lot - West Campus'!N1338,'By Lot - West Campus'!N1357,'By Lot - West Campus'!N1373,'By Lot - West Campus'!N1390,'By Lot - West Campus'!N1407,'By Lot - West Campus'!N1509)</f>
        <v>34</v>
      </c>
      <c r="M157" s="31">
        <f>SUM('By Lot - West Campus'!O1032,'By Lot - West Campus'!O1049,'By Lot - West Campus'!O1066,'By Lot - West Campus'!O1083,'By Lot - West Campus'!O1117,'By Lot - West Campus'!O1134,'By Lot - West Campus'!O1321,'By Lot - West Campus'!O1338,'By Lot - West Campus'!O1357,'By Lot - West Campus'!O1373,'By Lot - West Campus'!O1390,'By Lot - West Campus'!O1407,'By Lot - West Campus'!O1509)</f>
        <v>54</v>
      </c>
      <c r="N157" s="32">
        <f t="shared" si="55"/>
        <v>1</v>
      </c>
      <c r="O157" s="6">
        <f t="shared" si="56"/>
        <v>231</v>
      </c>
      <c r="P157" s="59">
        <f t="shared" si="57"/>
        <v>0.99568965517241381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1.25" customHeight="1" x14ac:dyDescent="0.4">
      <c r="A158" s="32"/>
      <c r="B158" s="17" t="s">
        <v>303</v>
      </c>
      <c r="C158" s="17">
        <f>SUM('By Lot - West Campus'!E1033,'By Lot - West Campus'!E1050,'By Lot - West Campus'!E1067,'By Lot - West Campus'!E1084,'By Lot - West Campus'!E1118,'By Lot - West Campus'!E1135,'By Lot - West Campus'!E1322,'By Lot - West Campus'!E1339,'By Lot - West Campus'!E1358,'By Lot - West Campus'!E1374,'By Lot - West Campus'!E1391,'By Lot - West Campus'!E1408,'By Lot - West Campus'!E1510)</f>
        <v>97</v>
      </c>
      <c r="D158" s="32">
        <f>SUM('By Lot - West Campus'!F1033,'By Lot - West Campus'!F1050,'By Lot - West Campus'!F1067,'By Lot - West Campus'!F1084,'By Lot - West Campus'!F1118,'By Lot - West Campus'!F1135,'By Lot - West Campus'!F1322,'By Lot - West Campus'!F1339,'By Lot - West Campus'!F1358,'By Lot - West Campus'!F1374,'By Lot - West Campus'!F1391,'By Lot - West Campus'!F1408,'By Lot - West Campus'!F1510)</f>
        <v>0</v>
      </c>
      <c r="E158" s="6">
        <f>SUM('By Lot - West Campus'!G1033,'By Lot - West Campus'!G1050,'By Lot - West Campus'!G1067,'By Lot - West Campus'!G1084,'By Lot - West Campus'!G1118,'By Lot - West Campus'!G1135,'By Lot - West Campus'!G1322,'By Lot - West Campus'!G1339,'By Lot - West Campus'!G1358,'By Lot - West Campus'!G1374,'By Lot - West Campus'!G1391,'By Lot - West Campus'!G1408,'By Lot - West Campus'!G1510)</f>
        <v>0</v>
      </c>
      <c r="F158" s="6">
        <f>SUM('By Lot - West Campus'!H1033,'By Lot - West Campus'!H1050,'By Lot - West Campus'!H1067,'By Lot - West Campus'!H1084,'By Lot - West Campus'!H1118,'By Lot - West Campus'!H1135,'By Lot - West Campus'!H1322,'By Lot - West Campus'!H1339,'By Lot - West Campus'!H1358,'By Lot - West Campus'!H1374,'By Lot - West Campus'!H1391,'By Lot - West Campus'!H1408,'By Lot - West Campus'!H1510)</f>
        <v>1</v>
      </c>
      <c r="G158" s="6">
        <f>SUM('By Lot - West Campus'!I1033,'By Lot - West Campus'!I1050,'By Lot - West Campus'!I1067,'By Lot - West Campus'!I1084,'By Lot - West Campus'!I1118,'By Lot - West Campus'!I1135,'By Lot - West Campus'!I1322,'By Lot - West Campus'!I1339,'By Lot - West Campus'!I1358,'By Lot - West Campus'!I1374,'By Lot - West Campus'!I1391,'By Lot - West Campus'!I1408,'By Lot - West Campus'!I1510)</f>
        <v>2</v>
      </c>
      <c r="H158" s="6">
        <f>SUM('By Lot - West Campus'!J1033,'By Lot - West Campus'!J1050,'By Lot - West Campus'!J1067,'By Lot - West Campus'!J1084,'By Lot - West Campus'!J1118,'By Lot - West Campus'!J1135,'By Lot - West Campus'!J1322,'By Lot - West Campus'!J1339,'By Lot - West Campus'!J1358,'By Lot - West Campus'!J1374,'By Lot - West Campus'!J1391,'By Lot - West Campus'!J1408,'By Lot - West Campus'!J1510)</f>
        <v>0</v>
      </c>
      <c r="I158" s="6">
        <f>SUM('By Lot - West Campus'!K1033,'By Lot - West Campus'!K1050,'By Lot - West Campus'!K1067,'By Lot - West Campus'!K1084,'By Lot - West Campus'!K1118,'By Lot - West Campus'!K1135,'By Lot - West Campus'!K1322,'By Lot - West Campus'!K1339,'By Lot - West Campus'!K1358,'By Lot - West Campus'!K1374,'By Lot - West Campus'!K1391,'By Lot - West Campus'!K1408,'By Lot - West Campus'!K1510)</f>
        <v>0</v>
      </c>
      <c r="J158" s="6">
        <f>SUM('By Lot - West Campus'!L1033,'By Lot - West Campus'!L1050,'By Lot - West Campus'!L1067,'By Lot - West Campus'!L1084,'By Lot - West Campus'!L1118,'By Lot - West Campus'!L1135,'By Lot - West Campus'!L1322,'By Lot - West Campus'!L1339,'By Lot - West Campus'!L1358,'By Lot - West Campus'!L1374,'By Lot - West Campus'!L1391,'By Lot - West Campus'!L1408,'By Lot - West Campus'!L1510)</f>
        <v>0</v>
      </c>
      <c r="K158" s="6">
        <f>SUM('By Lot - West Campus'!M1033,'By Lot - West Campus'!M1050,'By Lot - West Campus'!M1067,'By Lot - West Campus'!M1084,'By Lot - West Campus'!M1118,'By Lot - West Campus'!M1135,'By Lot - West Campus'!M1322,'By Lot - West Campus'!M1339,'By Lot - West Campus'!M1358,'By Lot - West Campus'!M1374,'By Lot - West Campus'!M1391,'By Lot - West Campus'!M1408,'By Lot - West Campus'!M1510)</f>
        <v>0</v>
      </c>
      <c r="L158" s="6">
        <f>SUM('By Lot - West Campus'!N1033,'By Lot - West Campus'!N1050,'By Lot - West Campus'!N1067,'By Lot - West Campus'!N1084,'By Lot - West Campus'!N1118,'By Lot - West Campus'!N1135,'By Lot - West Campus'!N1322,'By Lot - West Campus'!N1339,'By Lot - West Campus'!N1358,'By Lot - West Campus'!N1374,'By Lot - West Campus'!N1391,'By Lot - West Campus'!N1408,'By Lot - West Campus'!N1510)</f>
        <v>0</v>
      </c>
      <c r="M158" s="31">
        <f>SUM('By Lot - West Campus'!O1033,'By Lot - West Campus'!O1050,'By Lot - West Campus'!O1067,'By Lot - West Campus'!O1084,'By Lot - West Campus'!O1118,'By Lot - West Campus'!O1135,'By Lot - West Campus'!O1322,'By Lot - West Campus'!O1339,'By Lot - West Campus'!O1358,'By Lot - West Campus'!O1374,'By Lot - West Campus'!O1391,'By Lot - West Campus'!O1408,'By Lot - West Campus'!O1510)</f>
        <v>4</v>
      </c>
      <c r="N158" s="32">
        <f t="shared" si="55"/>
        <v>0</v>
      </c>
      <c r="O158" s="6">
        <f t="shared" si="56"/>
        <v>97</v>
      </c>
      <c r="P158" s="59">
        <f t="shared" si="57"/>
        <v>1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1.25" customHeight="1" x14ac:dyDescent="0.4">
      <c r="A159" s="32"/>
      <c r="B159" s="32" t="s">
        <v>307</v>
      </c>
      <c r="C159" s="17">
        <f>SUM('By Lot - West Campus'!E1034:E1035,'By Lot - West Campus'!E1051:E1052,'By Lot - West Campus'!E1068:E1069,'By Lot - West Campus'!E1085:E1086,'By Lot - West Campus'!E1119:E1120,'By Lot - West Campus'!E1136:E1137,'By Lot - West Campus'!E1323:E1324,'By Lot - West Campus'!E1340:E1341,'By Lot - West Campus'!E1359:E1360,'By Lot - West Campus'!E1375:E1376,'By Lot - West Campus'!E1392:E1393,'By Lot - West Campus'!E1409:E1410,'By Lot - West Campus'!E1511:E1512)</f>
        <v>201</v>
      </c>
      <c r="D159" s="6">
        <f>SUM('By Lot - West Campus'!F1034:F1035,'By Lot - West Campus'!F1051:F1052,'By Lot - West Campus'!F1068:F1069,'By Lot - West Campus'!F1085:F1086,'By Lot - West Campus'!F1119:F1120,'By Lot - West Campus'!F1136:F1137,'By Lot - West Campus'!F1323:F1324,'By Lot - West Campus'!F1340:F1341,'By Lot - West Campus'!F1359:F1360,'By Lot - West Campus'!F1375:F1376,'By Lot - West Campus'!F1392:F1393,'By Lot - West Campus'!F1409:F1410,'By Lot - West Campus'!F1511:F1512)</f>
        <v>55</v>
      </c>
      <c r="E159" s="6">
        <f>SUM('By Lot - West Campus'!G1034:G1035,'By Lot - West Campus'!G1051:G1052,'By Lot - West Campus'!G1068:G1069,'By Lot - West Campus'!G1085:G1086,'By Lot - West Campus'!G1119:G1120,'By Lot - West Campus'!G1136:G1137,'By Lot - West Campus'!G1323:G1324,'By Lot - West Campus'!G1340:G1341,'By Lot - West Campus'!G1359:G1360,'By Lot - West Campus'!G1375:G1376,'By Lot - West Campus'!G1392:G1393,'By Lot - West Campus'!G1409:G1410,'By Lot - West Campus'!G1511:G1512)</f>
        <v>1</v>
      </c>
      <c r="F159" s="6">
        <f>SUM('By Lot - West Campus'!H1034:H1035,'By Lot - West Campus'!H1051:H1052,'By Lot - West Campus'!H1068:H1069,'By Lot - West Campus'!H1085:H1086,'By Lot - West Campus'!H1119:H1120,'By Lot - West Campus'!H1136:H1137,'By Lot - West Campus'!H1323:H1324,'By Lot - West Campus'!H1340:H1341,'By Lot - West Campus'!H1359:H1360,'By Lot - West Campus'!H1375:H1376,'By Lot - West Campus'!H1392:H1393,'By Lot - West Campus'!H1409:H1410,'By Lot - West Campus'!H1511:H1512)</f>
        <v>1</v>
      </c>
      <c r="G159" s="6">
        <f>SUM('By Lot - West Campus'!I1034:I1035,'By Lot - West Campus'!I1051:I1052,'By Lot - West Campus'!I1068:I1069,'By Lot - West Campus'!I1085:I1086,'By Lot - West Campus'!I1119:I1120,'By Lot - West Campus'!I1136:I1137,'By Lot - West Campus'!I1323:I1324,'By Lot - West Campus'!I1340:I1341,'By Lot - West Campus'!I1359:I1360,'By Lot - West Campus'!I1375:I1376,'By Lot - West Campus'!I1392:I1393,'By Lot - West Campus'!I1409:I1410,'By Lot - West Campus'!I1511:I1512)</f>
        <v>0</v>
      </c>
      <c r="H159" s="6">
        <f>SUM('By Lot - West Campus'!J1034:J1035,'By Lot - West Campus'!J1051:J1052,'By Lot - West Campus'!J1068:J1069,'By Lot - West Campus'!J1085:J1086,'By Lot - West Campus'!J1119:J1120,'By Lot - West Campus'!J1136:J1137,'By Lot - West Campus'!J1323:J1324,'By Lot - West Campus'!J1340:J1341,'By Lot - West Campus'!J1359:J1360,'By Lot - West Campus'!J1375:J1376,'By Lot - West Campus'!J1392:J1393,'By Lot - West Campus'!J1409:J1410,'By Lot - West Campus'!J1511:J1512)</f>
        <v>1</v>
      </c>
      <c r="I159" s="6">
        <f>SUM('By Lot - West Campus'!K1034:K1035,'By Lot - West Campus'!K1051:K1052,'By Lot - West Campus'!K1068:K1069,'By Lot - West Campus'!K1085:K1086,'By Lot - West Campus'!K1119:K1120,'By Lot - West Campus'!K1136:K1137,'By Lot - West Campus'!K1323:K1324,'By Lot - West Campus'!K1340:K1341,'By Lot - West Campus'!K1359:K1360,'By Lot - West Campus'!K1375:K1376,'By Lot - West Campus'!K1392:K1393,'By Lot - West Campus'!K1409:K1410,'By Lot - West Campus'!K1511:K1512)</f>
        <v>1</v>
      </c>
      <c r="J159" s="6">
        <f>SUM('By Lot - West Campus'!L1034:L1035,'By Lot - West Campus'!L1051:L1052,'By Lot - West Campus'!L1068:L1069,'By Lot - West Campus'!L1085:L1086,'By Lot - West Campus'!L1119:L1120,'By Lot - West Campus'!L1136:L1137,'By Lot - West Campus'!L1323:L1324,'By Lot - West Campus'!L1340:L1341,'By Lot - West Campus'!L1359:L1360,'By Lot - West Campus'!L1375:L1376,'By Lot - West Campus'!L1392:L1393,'By Lot - West Campus'!L1409:L1410,'By Lot - West Campus'!L1511:L1512)</f>
        <v>3</v>
      </c>
      <c r="K159" s="6">
        <f>SUM('By Lot - West Campus'!M1034:M1035,'By Lot - West Campus'!M1051:M1052,'By Lot - West Campus'!M1068:M1069,'By Lot - West Campus'!M1085:M1086,'By Lot - West Campus'!M1119:M1120,'By Lot - West Campus'!M1136:M1137,'By Lot - West Campus'!M1323:M1324,'By Lot - West Campus'!M1340:M1341,'By Lot - West Campus'!M1359:M1360,'By Lot - West Campus'!M1375:M1376,'By Lot - West Campus'!M1392:M1393,'By Lot - West Campus'!M1409:M1410,'By Lot - West Campus'!M1511:M1512)</f>
        <v>5</v>
      </c>
      <c r="L159" s="6">
        <f>SUM('By Lot - West Campus'!N1034:N1035,'By Lot - West Campus'!N1051:N1052,'By Lot - West Campus'!N1068:N1069,'By Lot - West Campus'!N1085:N1086,'By Lot - West Campus'!N1119:N1120,'By Lot - West Campus'!N1136:N1137,'By Lot - West Campus'!N1323:N1324,'By Lot - West Campus'!N1340:N1341,'By Lot - West Campus'!N1359:N1360,'By Lot - West Campus'!N1375:N1376,'By Lot - West Campus'!N1392:N1393,'By Lot - West Campus'!N1409:N1410,'By Lot - West Campus'!N1511:N1512)</f>
        <v>13</v>
      </c>
      <c r="M159" s="31">
        <f>SUM('By Lot - West Campus'!O1034:O1035,'By Lot - West Campus'!O1051:O1052,'By Lot - West Campus'!O1068:O1069,'By Lot - West Campus'!O1085:O1086,'By Lot - West Campus'!O1119:O1120,'By Lot - West Campus'!O1136:O1137,'By Lot - West Campus'!O1323:O1324,'By Lot - West Campus'!O1340:O1341,'By Lot - West Campus'!O1359:O1360,'By Lot - West Campus'!O1375:O1376,'By Lot - West Campus'!O1392:O1393,'By Lot - West Campus'!O1409:O1410,'By Lot - West Campus'!O1511:O1512)</f>
        <v>10</v>
      </c>
      <c r="N159" s="6">
        <f t="shared" si="55"/>
        <v>0</v>
      </c>
      <c r="O159" s="6">
        <f t="shared" si="56"/>
        <v>201</v>
      </c>
      <c r="P159" s="59">
        <f t="shared" si="57"/>
        <v>1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1.25" customHeight="1" x14ac:dyDescent="0.4">
      <c r="A160" s="32"/>
      <c r="B160" s="32" t="s">
        <v>308</v>
      </c>
      <c r="C160" s="17">
        <f>SUM('By Lot - West Campus'!E1036,'By Lot - West Campus'!E1053,'By Lot - West Campus'!E1070,'By Lot - West Campus'!E1087,'By Lot - West Campus'!E1121,'By Lot - West Campus'!E1138,'By Lot - West Campus'!E1325,'By Lot - West Campus'!E1342:E1343,'By Lot - West Campus'!E1361,'By Lot - West Campus'!E1377,'By Lot - West Campus'!E1394,'By Lot - West Campus'!E1411,'By Lot - West Campus'!E1513)</f>
        <v>21</v>
      </c>
      <c r="D160" s="6">
        <f>SUM('By Lot - West Campus'!F1036,'By Lot - West Campus'!F1053,'By Lot - West Campus'!F1070,'By Lot - West Campus'!F1087,'By Lot - West Campus'!F1121,'By Lot - West Campus'!F1138,'By Lot - West Campus'!F1325,'By Lot - West Campus'!F1342:F1343,'By Lot - West Campus'!F1361,'By Lot - West Campus'!F1377,'By Lot - West Campus'!F1394,'By Lot - West Campus'!F1411,'By Lot - West Campus'!F1513)</f>
        <v>15</v>
      </c>
      <c r="E160" s="6">
        <f>SUM('By Lot - West Campus'!G1036,'By Lot - West Campus'!G1053,'By Lot - West Campus'!G1070,'By Lot - West Campus'!G1087,'By Lot - West Campus'!G1121,'By Lot - West Campus'!G1138,'By Lot - West Campus'!G1325,'By Lot - West Campus'!G1342:G1343,'By Lot - West Campus'!G1361,'By Lot - West Campus'!G1377,'By Lot - West Campus'!G1394,'By Lot - West Campus'!G1411,'By Lot - West Campus'!G1513)</f>
        <v>15</v>
      </c>
      <c r="F160" s="6">
        <f>SUM('By Lot - West Campus'!H1036,'By Lot - West Campus'!H1053,'By Lot - West Campus'!H1070,'By Lot - West Campus'!H1087,'By Lot - West Campus'!H1121,'By Lot - West Campus'!H1138,'By Lot - West Campus'!H1325,'By Lot - West Campus'!H1342:H1343,'By Lot - West Campus'!H1361,'By Lot - West Campus'!H1377,'By Lot - West Campus'!H1394,'By Lot - West Campus'!H1411,'By Lot - West Campus'!H1513)</f>
        <v>13</v>
      </c>
      <c r="G160" s="6">
        <f>SUM('By Lot - West Campus'!I1036,'By Lot - West Campus'!I1053,'By Lot - West Campus'!I1070,'By Lot - West Campus'!I1087,'By Lot - West Campus'!I1121,'By Lot - West Campus'!I1138,'By Lot - West Campus'!I1325,'By Lot - West Campus'!I1342:I1343,'By Lot - West Campus'!I1361,'By Lot - West Campus'!I1377,'By Lot - West Campus'!I1394,'By Lot - West Campus'!I1411,'By Lot - West Campus'!I1513)</f>
        <v>12</v>
      </c>
      <c r="H160" s="6">
        <f>SUM('By Lot - West Campus'!J1036,'By Lot - West Campus'!J1053,'By Lot - West Campus'!J1070,'By Lot - West Campus'!J1087,'By Lot - West Campus'!J1121,'By Lot - West Campus'!J1138,'By Lot - West Campus'!J1325,'By Lot - West Campus'!J1342:J1343,'By Lot - West Campus'!J1361,'By Lot - West Campus'!J1377,'By Lot - West Campus'!J1394,'By Lot - West Campus'!J1411,'By Lot - West Campus'!J1513)</f>
        <v>14</v>
      </c>
      <c r="I160" s="6">
        <f>SUM('By Lot - West Campus'!K1036,'By Lot - West Campus'!K1053,'By Lot - West Campus'!K1070,'By Lot - West Campus'!K1087,'By Lot - West Campus'!K1121,'By Lot - West Campus'!K1138,'By Lot - West Campus'!K1325,'By Lot - West Campus'!K1342:K1343,'By Lot - West Campus'!K1361,'By Lot - West Campus'!K1377,'By Lot - West Campus'!K1394,'By Lot - West Campus'!K1411,'By Lot - West Campus'!K1513)</f>
        <v>12</v>
      </c>
      <c r="J160" s="6">
        <f>SUM('By Lot - West Campus'!L1036,'By Lot - West Campus'!L1053,'By Lot - West Campus'!L1070,'By Lot - West Campus'!L1087,'By Lot - West Campus'!L1121,'By Lot - West Campus'!L1138,'By Lot - West Campus'!L1325,'By Lot - West Campus'!L1342:L1343,'By Lot - West Campus'!L1361,'By Lot - West Campus'!L1377,'By Lot - West Campus'!L1394,'By Lot - West Campus'!L1411,'By Lot - West Campus'!L1513)</f>
        <v>12</v>
      </c>
      <c r="K160" s="6">
        <f>SUM('By Lot - West Campus'!M1036,'By Lot - West Campus'!M1053,'By Lot - West Campus'!M1070,'By Lot - West Campus'!M1087,'By Lot - West Campus'!M1121,'By Lot - West Campus'!M1138,'By Lot - West Campus'!M1325,'By Lot - West Campus'!M1342:M1343,'By Lot - West Campus'!M1361,'By Lot - West Campus'!M1377,'By Lot - West Campus'!M1394,'By Lot - West Campus'!M1411,'By Lot - West Campus'!M1513)</f>
        <v>13</v>
      </c>
      <c r="L160" s="6">
        <f>SUM('By Lot - West Campus'!N1036,'By Lot - West Campus'!N1053,'By Lot - West Campus'!N1070,'By Lot - West Campus'!N1087,'By Lot - West Campus'!N1121,'By Lot - West Campus'!N1138,'By Lot - West Campus'!N1325,'By Lot - West Campus'!N1342:N1343,'By Lot - West Campus'!N1361,'By Lot - West Campus'!N1377,'By Lot - West Campus'!N1394,'By Lot - West Campus'!N1411,'By Lot - West Campus'!N1513)</f>
        <v>11</v>
      </c>
      <c r="M160" s="31">
        <f>SUM('By Lot - West Campus'!O1036,'By Lot - West Campus'!O1053,'By Lot - West Campus'!O1070,'By Lot - West Campus'!O1087,'By Lot - West Campus'!O1121,'By Lot - West Campus'!O1138,'By Lot - West Campus'!O1325,'By Lot - West Campus'!O1342:O1343,'By Lot - West Campus'!O1361,'By Lot - West Campus'!O1377,'By Lot - West Campus'!O1394,'By Lot - West Campus'!O1411,'By Lot - West Campus'!O1513)</f>
        <v>13</v>
      </c>
      <c r="N160" s="6">
        <f t="shared" si="55"/>
        <v>11</v>
      </c>
      <c r="O160" s="6">
        <f t="shared" si="56"/>
        <v>10</v>
      </c>
      <c r="P160" s="59">
        <f t="shared" si="57"/>
        <v>0.47619047619047616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1.25" customHeight="1" x14ac:dyDescent="0.4">
      <c r="A161" s="32"/>
      <c r="B161" s="32" t="s">
        <v>309</v>
      </c>
      <c r="C161" s="17">
        <f>SUM('By Lot - West Campus'!E1037:E1042,'By Lot - West Campus'!E1054:E1059,'By Lot - West Campus'!E1071:E1076,'By Lot - West Campus'!E1088:E1093,'By Lot - West Campus'!E1122:E1127,'By Lot - West Campus'!E1139:E1144,'By Lot - West Campus'!E1326:E1331,'By Lot - West Campus'!E1344:E1350,'By Lot - West Campus'!E1362:E1366,'By Lot - West Campus'!E1378:E1383,'By Lot - West Campus'!E1395:E1400,'By Lot - West Campus'!E1412:E1417,'By Lot - West Campus'!E1514:E1519)</f>
        <v>63</v>
      </c>
      <c r="D161" s="6">
        <f>SUM('By Lot - West Campus'!F1037:F1042,'By Lot - West Campus'!F1054:F1059,'By Lot - West Campus'!F1071:F1076,'By Lot - West Campus'!F1088:F1093,'By Lot - West Campus'!F1122:F1127,'By Lot - West Campus'!F1139:F1144,'By Lot - West Campus'!F1326:F1331,'By Lot - West Campus'!F1344:F1350,'By Lot - West Campus'!F1362:F1366,'By Lot - West Campus'!F1378:F1383,'By Lot - West Campus'!F1395:F1400,'By Lot - West Campus'!F1412:F1417,'By Lot - West Campus'!F1514:F1519)</f>
        <v>44</v>
      </c>
      <c r="E161" s="6">
        <f>SUM('By Lot - West Campus'!G1037:G1042,'By Lot - West Campus'!G1054:G1059,'By Lot - West Campus'!G1071:G1076,'By Lot - West Campus'!G1088:G1093,'By Lot - West Campus'!G1122:G1127,'By Lot - West Campus'!G1139:G1144,'By Lot - West Campus'!G1326:G1331,'By Lot - West Campus'!G1344:G1350,'By Lot - West Campus'!G1362:G1366,'By Lot - West Campus'!G1378:G1383,'By Lot - West Campus'!G1395:G1400,'By Lot - West Campus'!G1412:G1417,'By Lot - West Campus'!G1514:G1519)</f>
        <v>27</v>
      </c>
      <c r="F161" s="6">
        <f>SUM('By Lot - West Campus'!H1037:H1042,'By Lot - West Campus'!H1054:H1059,'By Lot - West Campus'!H1071:H1076,'By Lot - West Campus'!H1088:H1093,'By Lot - West Campus'!H1122:H1127,'By Lot - West Campus'!H1139:H1144,'By Lot - West Campus'!H1326:H1331,'By Lot - West Campus'!H1344:H1350,'By Lot - West Campus'!H1362:H1366,'By Lot - West Campus'!H1378:H1383,'By Lot - West Campus'!H1395:H1400,'By Lot - West Campus'!H1412:H1417,'By Lot - West Campus'!H1514:H1519)</f>
        <v>17</v>
      </c>
      <c r="G161" s="6">
        <f>SUM('By Lot - West Campus'!I1037:I1042,'By Lot - West Campus'!I1054:I1059,'By Lot - West Campus'!I1071:I1076,'By Lot - West Campus'!I1088:I1093,'By Lot - West Campus'!I1122:I1127,'By Lot - West Campus'!I1139:I1144,'By Lot - West Campus'!I1326:I1331,'By Lot - West Campus'!I1344:I1350,'By Lot - West Campus'!I1362:I1366,'By Lot - West Campus'!I1378:I1383,'By Lot - West Campus'!I1395:I1400,'By Lot - West Campus'!I1412:I1417,'By Lot - West Campus'!I1514:I1519)</f>
        <v>12</v>
      </c>
      <c r="H161" s="6">
        <f>SUM('By Lot - West Campus'!J1037:J1042,'By Lot - West Campus'!J1054:J1059,'By Lot - West Campus'!J1071:J1076,'By Lot - West Campus'!J1088:J1093,'By Lot - West Campus'!J1122:J1127,'By Lot - West Campus'!J1139:J1144,'By Lot - West Campus'!J1326:J1331,'By Lot - West Campus'!J1344:J1350,'By Lot - West Campus'!J1362:J1366,'By Lot - West Campus'!J1378:J1383,'By Lot - West Campus'!J1395:J1400,'By Lot - West Campus'!J1412:J1417,'By Lot - West Campus'!J1514:J1519)</f>
        <v>17</v>
      </c>
      <c r="I161" s="6">
        <f>SUM('By Lot - West Campus'!K1037:K1042,'By Lot - West Campus'!K1054:K1059,'By Lot - West Campus'!K1071:K1076,'By Lot - West Campus'!K1088:K1093,'By Lot - West Campus'!K1122:K1127,'By Lot - West Campus'!K1139:K1144,'By Lot - West Campus'!K1326:K1331,'By Lot - West Campus'!K1344:K1350,'By Lot - West Campus'!K1362:K1366,'By Lot - West Campus'!K1378:K1383,'By Lot - West Campus'!K1395:K1400,'By Lot - West Campus'!K1412:K1417,'By Lot - West Campus'!K1514:K1519)</f>
        <v>14</v>
      </c>
      <c r="J161" s="6">
        <f>SUM('By Lot - West Campus'!L1037:L1042,'By Lot - West Campus'!L1054:L1059,'By Lot - West Campus'!L1071:L1076,'By Lot - West Campus'!L1088:L1093,'By Lot - West Campus'!L1122:L1127,'By Lot - West Campus'!L1139:L1144,'By Lot - West Campus'!L1326:L1331,'By Lot - West Campus'!L1344:L1350,'By Lot - West Campus'!L1362:L1366,'By Lot - West Campus'!L1378:L1383,'By Lot - West Campus'!L1395:L1400,'By Lot - West Campus'!L1412:L1417,'By Lot - West Campus'!L1514:L1519)</f>
        <v>17</v>
      </c>
      <c r="K161" s="6">
        <f>SUM('By Lot - West Campus'!M1037:M1042,'By Lot - West Campus'!M1054:M1059,'By Lot - West Campus'!M1071:M1076,'By Lot - West Campus'!M1088:M1093,'By Lot - West Campus'!M1122:M1127,'By Lot - West Campus'!M1139:M1144,'By Lot - West Campus'!M1326:M1331,'By Lot - West Campus'!M1344:M1350,'By Lot - West Campus'!M1362:M1366,'By Lot - West Campus'!M1378:M1383,'By Lot - West Campus'!M1395:M1400,'By Lot - West Campus'!M1412:M1417,'By Lot - West Campus'!M1514:M1519)</f>
        <v>14</v>
      </c>
      <c r="L161" s="6">
        <f>SUM('By Lot - West Campus'!N1037:N1042,'By Lot - West Campus'!N1054:N1059,'By Lot - West Campus'!N1071:N1076,'By Lot - West Campus'!N1088:N1093,'By Lot - West Campus'!N1122:N1127,'By Lot - West Campus'!N1139:N1144,'By Lot - West Campus'!N1326:N1331,'By Lot - West Campus'!N1344:N1350,'By Lot - West Campus'!N1362:N1366,'By Lot - West Campus'!N1378:N1383,'By Lot - West Campus'!N1395:N1400,'By Lot - West Campus'!N1412:N1417,'By Lot - West Campus'!N1514:N1519)</f>
        <v>20</v>
      </c>
      <c r="M161" s="31">
        <f>SUM('By Lot - West Campus'!O1037:O1042,'By Lot - West Campus'!O1054:O1059,'By Lot - West Campus'!O1071:O1076,'By Lot - West Campus'!O1088:O1093,'By Lot - West Campus'!O1122:O1127,'By Lot - West Campus'!O1139:O1144,'By Lot - West Campus'!O1326:O1331,'By Lot - West Campus'!O1344:O1350,'By Lot - West Campus'!O1362:O1366,'By Lot - West Campus'!O1378:O1383,'By Lot - West Campus'!O1395:O1400,'By Lot - West Campus'!O1412:O1417,'By Lot - West Campus'!O1514:O1519)</f>
        <v>25</v>
      </c>
      <c r="N161" s="6">
        <f t="shared" si="55"/>
        <v>12</v>
      </c>
      <c r="O161" s="6">
        <f t="shared" si="56"/>
        <v>51</v>
      </c>
      <c r="P161" s="59">
        <f t="shared" si="57"/>
        <v>0.80952380952380953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1.25" customHeight="1" x14ac:dyDescent="0.4">
      <c r="A162" s="32"/>
      <c r="B162" s="17" t="s">
        <v>310</v>
      </c>
      <c r="C162" s="17">
        <f>SUM('By Lot - West Campus'!E1043,'By Lot - West Campus'!E1060,'By Lot - West Campus'!E1077,'By Lot - West Campus'!E1094,'By Lot - West Campus'!E1128,'By Lot - West Campus'!E1145,'By Lot - West Campus'!E1332,'By Lot - West Campus'!E1351,'By Lot - West Campus'!E1367,'By Lot - West Campus'!E1384,'By Lot - West Campus'!E1401,'By Lot - West Campus'!E1418,'By Lot - West Campus'!E1520)</f>
        <v>53</v>
      </c>
      <c r="D162" s="32">
        <f>SUM('By Lot - West Campus'!F1043,'By Lot - West Campus'!F1060,'By Lot - West Campus'!F1077,'By Lot - West Campus'!F1094,'By Lot - West Campus'!F1128,'By Lot - West Campus'!F1145,'By Lot - West Campus'!F1332,'By Lot - West Campus'!F1351,'By Lot - West Campus'!F1367,'By Lot - West Campus'!F1384,'By Lot - West Campus'!F1401,'By Lot - West Campus'!F1418,'By Lot - West Campus'!F1520)</f>
        <v>1</v>
      </c>
      <c r="E162" s="6">
        <f>SUM('By Lot - West Campus'!G1043,'By Lot - West Campus'!G1060,'By Lot - West Campus'!G1077,'By Lot - West Campus'!G1094,'By Lot - West Campus'!G1128,'By Lot - West Campus'!G1145,'By Lot - West Campus'!G1332,'By Lot - West Campus'!G1351,'By Lot - West Campus'!G1367,'By Lot - West Campus'!G1384,'By Lot - West Campus'!G1401,'By Lot - West Campus'!G1418,'By Lot - West Campus'!G1520)</f>
        <v>2</v>
      </c>
      <c r="F162" s="6">
        <f>SUM('By Lot - West Campus'!H1043,'By Lot - West Campus'!H1060,'By Lot - West Campus'!H1077,'By Lot - West Campus'!H1094,'By Lot - West Campus'!H1128,'By Lot - West Campus'!H1145,'By Lot - West Campus'!H1332,'By Lot - West Campus'!H1351,'By Lot - West Campus'!H1367,'By Lot - West Campus'!H1384,'By Lot - West Campus'!H1401,'By Lot - West Campus'!H1418,'By Lot - West Campus'!H1520)</f>
        <v>4</v>
      </c>
      <c r="G162" s="6">
        <f>SUM('By Lot - West Campus'!I1043,'By Lot - West Campus'!I1060,'By Lot - West Campus'!I1077,'By Lot - West Campus'!I1094,'By Lot - West Campus'!I1128,'By Lot - West Campus'!I1145,'By Lot - West Campus'!I1332,'By Lot - West Campus'!I1351,'By Lot - West Campus'!I1367,'By Lot - West Campus'!I1384,'By Lot - West Campus'!I1401,'By Lot - West Campus'!I1418,'By Lot - West Campus'!I1520)</f>
        <v>2</v>
      </c>
      <c r="H162" s="6">
        <f>SUM('By Lot - West Campus'!J1043,'By Lot - West Campus'!J1060,'By Lot - West Campus'!J1077,'By Lot - West Campus'!J1094,'By Lot - West Campus'!J1128,'By Lot - West Campus'!J1145,'By Lot - West Campus'!J1332,'By Lot - West Campus'!J1351,'By Lot - West Campus'!J1367,'By Lot - West Campus'!J1384,'By Lot - West Campus'!J1401,'By Lot - West Campus'!J1418,'By Lot - West Campus'!J1520)</f>
        <v>0</v>
      </c>
      <c r="I162" s="6">
        <f>SUM('By Lot - West Campus'!K1043,'By Lot - West Campus'!K1060,'By Lot - West Campus'!K1077,'By Lot - West Campus'!K1094,'By Lot - West Campus'!K1128,'By Lot - West Campus'!K1145,'By Lot - West Campus'!K1332,'By Lot - West Campus'!K1351,'By Lot - West Campus'!K1367,'By Lot - West Campus'!K1384,'By Lot - West Campus'!K1401,'By Lot - West Campus'!K1418,'By Lot - West Campus'!K1520)</f>
        <v>2</v>
      </c>
      <c r="J162" s="6">
        <f>SUM('By Lot - West Campus'!L1043,'By Lot - West Campus'!L1060,'By Lot - West Campus'!L1077,'By Lot - West Campus'!L1094,'By Lot - West Campus'!L1128,'By Lot - West Campus'!L1145,'By Lot - West Campus'!L1332,'By Lot - West Campus'!L1351,'By Lot - West Campus'!L1367,'By Lot - West Campus'!L1384,'By Lot - West Campus'!L1401,'By Lot - West Campus'!L1418,'By Lot - West Campus'!L1520)</f>
        <v>6</v>
      </c>
      <c r="K162" s="6">
        <f>SUM('By Lot - West Campus'!M1043,'By Lot - West Campus'!M1060,'By Lot - West Campus'!M1077,'By Lot - West Campus'!M1094,'By Lot - West Campus'!M1128,'By Lot - West Campus'!M1145,'By Lot - West Campus'!M1332,'By Lot - West Campus'!M1351,'By Lot - West Campus'!M1367,'By Lot - West Campus'!M1384,'By Lot - West Campus'!M1401,'By Lot - West Campus'!M1418,'By Lot - West Campus'!M1520)</f>
        <v>11</v>
      </c>
      <c r="L162" s="6">
        <f>SUM('By Lot - West Campus'!N1043,'By Lot - West Campus'!N1060,'By Lot - West Campus'!N1077,'By Lot - West Campus'!N1094,'By Lot - West Campus'!N1128,'By Lot - West Campus'!N1145,'By Lot - West Campus'!N1332,'By Lot - West Campus'!N1351,'By Lot - West Campus'!N1367,'By Lot - West Campus'!N1384,'By Lot - West Campus'!N1401,'By Lot - West Campus'!N1418,'By Lot - West Campus'!N1520)</f>
        <v>29</v>
      </c>
      <c r="M162" s="31">
        <f>SUM('By Lot - West Campus'!O1043,'By Lot - West Campus'!O1060,'By Lot - West Campus'!O1077,'By Lot - West Campus'!O1094,'By Lot - West Campus'!O1128,'By Lot - West Campus'!O1145,'By Lot - West Campus'!O1332,'By Lot - West Campus'!O1351,'By Lot - West Campus'!O1367,'By Lot - West Campus'!O1384,'By Lot - West Campus'!O1401,'By Lot - West Campus'!O1418,'By Lot - West Campus'!O1520)</f>
        <v>35</v>
      </c>
      <c r="N162" s="32">
        <f t="shared" si="55"/>
        <v>0</v>
      </c>
      <c r="O162" s="6">
        <f t="shared" si="56"/>
        <v>53</v>
      </c>
      <c r="P162" s="59">
        <f t="shared" si="57"/>
        <v>1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1.25" customHeight="1" x14ac:dyDescent="0.4">
      <c r="A163" s="32"/>
      <c r="B163" s="17" t="s">
        <v>311</v>
      </c>
      <c r="C163" s="17">
        <f>SUM('By Lot - West Campus'!E1044,'By Lot - West Campus'!E1061,'By Lot - West Campus'!E1078,'By Lot - West Campus'!E1095,'By Lot - West Campus'!E1129,'By Lot - West Campus'!E1146,'By Lot - West Campus'!E1333,'By Lot - West Campus'!E1352,'By Lot - West Campus'!E1368,'By Lot - West Campus'!E1385,'By Lot - West Campus'!E1402,'By Lot - West Campus'!E1419,'By Lot - West Campus'!E1521)</f>
        <v>18</v>
      </c>
      <c r="D163" s="32">
        <f>SUM('By Lot - West Campus'!F1044,'By Lot - West Campus'!F1061,'By Lot - West Campus'!F1078,'By Lot - West Campus'!F1095,'By Lot - West Campus'!F1129,'By Lot - West Campus'!F1146,'By Lot - West Campus'!F1333,'By Lot - West Campus'!F1352,'By Lot - West Campus'!F1368,'By Lot - West Campus'!F1385,'By Lot - West Campus'!F1402,'By Lot - West Campus'!F1419,'By Lot - West Campus'!F1521)</f>
        <v>9</v>
      </c>
      <c r="E163" s="6">
        <f>SUM('By Lot - West Campus'!G1044,'By Lot - West Campus'!G1061,'By Lot - West Campus'!G1078,'By Lot - West Campus'!G1095,'By Lot - West Campus'!G1129,'By Lot - West Campus'!G1146,'By Lot - West Campus'!G1333,'By Lot - West Campus'!G1352,'By Lot - West Campus'!G1368,'By Lot - West Campus'!G1385,'By Lot - West Campus'!G1402,'By Lot - West Campus'!G1419,'By Lot - West Campus'!G1521)</f>
        <v>13</v>
      </c>
      <c r="F163" s="6">
        <f>SUM('By Lot - West Campus'!H1044,'By Lot - West Campus'!H1061,'By Lot - West Campus'!H1078,'By Lot - West Campus'!H1095,'By Lot - West Campus'!H1129,'By Lot - West Campus'!H1146,'By Lot - West Campus'!H1333,'By Lot - West Campus'!H1352,'By Lot - West Campus'!H1368,'By Lot - West Campus'!H1385,'By Lot - West Campus'!H1402,'By Lot - West Campus'!H1419,'By Lot - West Campus'!H1521)</f>
        <v>11</v>
      </c>
      <c r="G163" s="6">
        <f>SUM('By Lot - West Campus'!I1044,'By Lot - West Campus'!I1061,'By Lot - West Campus'!I1078,'By Lot - West Campus'!I1095,'By Lot - West Campus'!I1129,'By Lot - West Campus'!I1146,'By Lot - West Campus'!I1333,'By Lot - West Campus'!I1352,'By Lot - West Campus'!I1368,'By Lot - West Campus'!I1385,'By Lot - West Campus'!I1402,'By Lot - West Campus'!I1419,'By Lot - West Campus'!I1521)</f>
        <v>14</v>
      </c>
      <c r="H163" s="6">
        <f>SUM('By Lot - West Campus'!J1044,'By Lot - West Campus'!J1061,'By Lot - West Campus'!J1078,'By Lot - West Campus'!J1095,'By Lot - West Campus'!J1129,'By Lot - West Campus'!J1146,'By Lot - West Campus'!J1333,'By Lot - West Campus'!J1352,'By Lot - West Campus'!J1368,'By Lot - West Campus'!J1385,'By Lot - West Campus'!J1402,'By Lot - West Campus'!J1419,'By Lot - West Campus'!J1521)</f>
        <v>10</v>
      </c>
      <c r="I163" s="6">
        <f>SUM('By Lot - West Campus'!K1044,'By Lot - West Campus'!K1061,'By Lot - West Campus'!K1078,'By Lot - West Campus'!K1095,'By Lot - West Campus'!K1129,'By Lot - West Campus'!K1146,'By Lot - West Campus'!K1333,'By Lot - West Campus'!K1352,'By Lot - West Campus'!K1368,'By Lot - West Campus'!K1385,'By Lot - West Campus'!K1402,'By Lot - West Campus'!K1419,'By Lot - West Campus'!K1521)</f>
        <v>11</v>
      </c>
      <c r="J163" s="6">
        <f>SUM('By Lot - West Campus'!L1044,'By Lot - West Campus'!L1061,'By Lot - West Campus'!L1078,'By Lot - West Campus'!L1095,'By Lot - West Campus'!L1129,'By Lot - West Campus'!L1146,'By Lot - West Campus'!L1333,'By Lot - West Campus'!L1352,'By Lot - West Campus'!L1368,'By Lot - West Campus'!L1385,'By Lot - West Campus'!L1402,'By Lot - West Campus'!L1419,'By Lot - West Campus'!L1521)</f>
        <v>9</v>
      </c>
      <c r="K163" s="6">
        <f>SUM('By Lot - West Campus'!M1044,'By Lot - West Campus'!M1061,'By Lot - West Campus'!M1078,'By Lot - West Campus'!M1095,'By Lot - West Campus'!M1129,'By Lot - West Campus'!M1146,'By Lot - West Campus'!M1333,'By Lot - West Campus'!M1352,'By Lot - West Campus'!M1368,'By Lot - West Campus'!M1385,'By Lot - West Campus'!M1402,'By Lot - West Campus'!M1419,'By Lot - West Campus'!M1521)</f>
        <v>12</v>
      </c>
      <c r="L163" s="6">
        <f>SUM('By Lot - West Campus'!N1044,'By Lot - West Campus'!N1061,'By Lot - West Campus'!N1078,'By Lot - West Campus'!N1095,'By Lot - West Campus'!N1129,'By Lot - West Campus'!N1146,'By Lot - West Campus'!N1333,'By Lot - West Campus'!N1352,'By Lot - West Campus'!N1368,'By Lot - West Campus'!N1385,'By Lot - West Campus'!N1402,'By Lot - West Campus'!N1419,'By Lot - West Campus'!N1521)</f>
        <v>13</v>
      </c>
      <c r="M163" s="31">
        <f>SUM('By Lot - West Campus'!O1044,'By Lot - West Campus'!O1061,'By Lot - West Campus'!O1078,'By Lot - West Campus'!O1095,'By Lot - West Campus'!O1129,'By Lot - West Campus'!O1146,'By Lot - West Campus'!O1333,'By Lot - West Campus'!O1352,'By Lot - West Campus'!O1368,'By Lot - West Campus'!O1385,'By Lot - West Campus'!O1402,'By Lot - West Campus'!O1419,'By Lot - West Campus'!O1521)</f>
        <v>13</v>
      </c>
      <c r="N163" s="32">
        <f t="shared" si="55"/>
        <v>9</v>
      </c>
      <c r="O163" s="6">
        <f t="shared" si="56"/>
        <v>9</v>
      </c>
      <c r="P163" s="59">
        <f t="shared" si="57"/>
        <v>0.5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1.25" customHeight="1" x14ac:dyDescent="0.4">
      <c r="A164" s="32"/>
      <c r="B164" s="17" t="s">
        <v>312</v>
      </c>
      <c r="C164" s="17">
        <f>SUM('By Lot - West Campus'!E1045,'By Lot - West Campus'!E1062,'By Lot - West Campus'!E1079,'By Lot - West Campus'!E1096,'By Lot - West Campus'!E1130,'By Lot - West Campus'!E1147,'By Lot - West Campus'!E1334,'By Lot - West Campus'!E1353,'By Lot - West Campus'!E1369,'By Lot - West Campus'!E1386,'By Lot - West Campus'!E1403,'By Lot - West Campus'!E1420,'By Lot - West Campus'!E1522)</f>
        <v>3</v>
      </c>
      <c r="D164" s="32">
        <f>SUM('By Lot - West Campus'!F1045,'By Lot - West Campus'!F1062,'By Lot - West Campus'!F1079,'By Lot - West Campus'!F1096,'By Lot - West Campus'!F1130,'By Lot - West Campus'!F1147,'By Lot - West Campus'!F1334,'By Lot - West Campus'!F1353,'By Lot - West Campus'!F1369,'By Lot - West Campus'!F1386,'By Lot - West Campus'!F1403,'By Lot - West Campus'!F1420,'By Lot - West Campus'!F1522)</f>
        <v>2</v>
      </c>
      <c r="E164" s="6">
        <f>SUM('By Lot - West Campus'!G1045,'By Lot - West Campus'!G1062,'By Lot - West Campus'!G1079,'By Lot - West Campus'!G1096,'By Lot - West Campus'!G1130,'By Lot - West Campus'!G1147,'By Lot - West Campus'!G1334,'By Lot - West Campus'!G1353,'By Lot - West Campus'!G1369,'By Lot - West Campus'!G1386,'By Lot - West Campus'!G1403,'By Lot - West Campus'!G1420,'By Lot - West Campus'!G1522)</f>
        <v>2</v>
      </c>
      <c r="F164" s="6">
        <f>SUM('By Lot - West Campus'!H1045,'By Lot - West Campus'!H1062,'By Lot - West Campus'!H1079,'By Lot - West Campus'!H1096,'By Lot - West Campus'!H1130,'By Lot - West Campus'!H1147,'By Lot - West Campus'!H1334,'By Lot - West Campus'!H1353,'By Lot - West Campus'!H1369,'By Lot - West Campus'!H1386,'By Lot - West Campus'!H1403,'By Lot - West Campus'!H1420,'By Lot - West Campus'!H1522)</f>
        <v>2</v>
      </c>
      <c r="G164" s="6">
        <f>SUM('By Lot - West Campus'!I1045,'By Lot - West Campus'!I1062,'By Lot - West Campus'!I1079,'By Lot - West Campus'!I1096,'By Lot - West Campus'!I1130,'By Lot - West Campus'!I1147,'By Lot - West Campus'!I1334,'By Lot - West Campus'!I1353,'By Lot - West Campus'!I1369,'By Lot - West Campus'!I1386,'By Lot - West Campus'!I1403,'By Lot - West Campus'!I1420,'By Lot - West Campus'!I1522)</f>
        <v>2</v>
      </c>
      <c r="H164" s="6">
        <f>SUM('By Lot - West Campus'!J1045,'By Lot - West Campus'!J1062,'By Lot - West Campus'!J1079,'By Lot - West Campus'!J1096,'By Lot - West Campus'!J1130,'By Lot - West Campus'!J1147,'By Lot - West Campus'!J1334,'By Lot - West Campus'!J1353,'By Lot - West Campus'!J1369,'By Lot - West Campus'!J1386,'By Lot - West Campus'!J1403,'By Lot - West Campus'!J1420,'By Lot - West Campus'!J1522)</f>
        <v>2</v>
      </c>
      <c r="I164" s="6">
        <f>SUM('By Lot - West Campus'!K1045,'By Lot - West Campus'!K1062,'By Lot - West Campus'!K1079,'By Lot - West Campus'!K1096,'By Lot - West Campus'!K1130,'By Lot - West Campus'!K1147,'By Lot - West Campus'!K1334,'By Lot - West Campus'!K1353,'By Lot - West Campus'!K1369,'By Lot - West Campus'!K1386,'By Lot - West Campus'!K1403,'By Lot - West Campus'!K1420,'By Lot - West Campus'!K1522)</f>
        <v>2</v>
      </c>
      <c r="J164" s="6">
        <f>SUM('By Lot - West Campus'!L1045,'By Lot - West Campus'!L1062,'By Lot - West Campus'!L1079,'By Lot - West Campus'!L1096,'By Lot - West Campus'!L1130,'By Lot - West Campus'!L1147,'By Lot - West Campus'!L1334,'By Lot - West Campus'!L1353,'By Lot - West Campus'!L1369,'By Lot - West Campus'!L1386,'By Lot - West Campus'!L1403,'By Lot - West Campus'!L1420,'By Lot - West Campus'!L1522)</f>
        <v>2</v>
      </c>
      <c r="K164" s="6">
        <f>SUM('By Lot - West Campus'!M1045,'By Lot - West Campus'!M1062,'By Lot - West Campus'!M1079,'By Lot - West Campus'!M1096,'By Lot - West Campus'!M1130,'By Lot - West Campus'!M1147,'By Lot - West Campus'!M1334,'By Lot - West Campus'!M1353,'By Lot - West Campus'!M1369,'By Lot - West Campus'!M1386,'By Lot - West Campus'!M1403,'By Lot - West Campus'!M1420,'By Lot - West Campus'!M1522)</f>
        <v>2</v>
      </c>
      <c r="L164" s="6">
        <f>SUM('By Lot - West Campus'!N1045,'By Lot - West Campus'!N1062,'By Lot - West Campus'!N1079,'By Lot - West Campus'!N1096,'By Lot - West Campus'!N1130,'By Lot - West Campus'!N1147,'By Lot - West Campus'!N1334,'By Lot - West Campus'!N1353,'By Lot - West Campus'!N1369,'By Lot - West Campus'!N1386,'By Lot - West Campus'!N1403,'By Lot - West Campus'!N1420,'By Lot - West Campus'!N1522)</f>
        <v>1</v>
      </c>
      <c r="M164" s="31">
        <f>SUM('By Lot - West Campus'!O1045,'By Lot - West Campus'!O1062,'By Lot - West Campus'!O1079,'By Lot - West Campus'!O1096,'By Lot - West Campus'!O1130,'By Lot - West Campus'!O1147,'By Lot - West Campus'!O1334,'By Lot - West Campus'!O1353,'By Lot - West Campus'!O1369,'By Lot - West Campus'!O1386,'By Lot - West Campus'!O1403,'By Lot - West Campus'!O1420,'By Lot - West Campus'!O1522)</f>
        <v>1</v>
      </c>
      <c r="N164" s="32">
        <f t="shared" si="55"/>
        <v>1</v>
      </c>
      <c r="O164" s="6">
        <f t="shared" si="56"/>
        <v>2</v>
      </c>
      <c r="P164" s="59">
        <f t="shared" si="57"/>
        <v>0.66666666666666663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1.25" customHeight="1" x14ac:dyDescent="0.4">
      <c r="A165" s="32"/>
      <c r="B165" s="17" t="s">
        <v>313</v>
      </c>
      <c r="C165" s="17">
        <f>SUM('By Lot - West Campus'!E1046,'By Lot - West Campus'!E1063,'By Lot - West Campus'!E1080,'By Lot - West Campus'!E1097,'By Lot - West Campus'!E1131,'By Lot - West Campus'!E1148,'By Lot - West Campus'!E1335,'By Lot - West Campus'!E1354,'By Lot - West Campus'!E1370,'By Lot - West Campus'!E1387,'By Lot - West Campus'!E1404,'By Lot - West Campus'!E1421,'By Lot - West Campus'!E1523)</f>
        <v>14</v>
      </c>
      <c r="D165" s="32">
        <f>SUM('By Lot - West Campus'!F1046,'By Lot - West Campus'!F1063,'By Lot - West Campus'!F1080,'By Lot - West Campus'!F1097,'By Lot - West Campus'!F1131,'By Lot - West Campus'!F1148,'By Lot - West Campus'!F1335,'By Lot - West Campus'!F1354,'By Lot - West Campus'!F1370,'By Lot - West Campus'!F1387,'By Lot - West Campus'!F1404,'By Lot - West Campus'!F1421,'By Lot - West Campus'!F1523)</f>
        <v>13</v>
      </c>
      <c r="E165" s="6">
        <f>SUM('By Lot - West Campus'!G1046,'By Lot - West Campus'!G1063,'By Lot - West Campus'!G1080,'By Lot - West Campus'!G1097,'By Lot - West Campus'!G1131,'By Lot - West Campus'!G1148,'By Lot - West Campus'!G1335,'By Lot - West Campus'!G1354,'By Lot - West Campus'!G1370,'By Lot - West Campus'!G1387,'By Lot - West Campus'!G1404,'By Lot - West Campus'!G1421,'By Lot - West Campus'!G1523)</f>
        <v>8</v>
      </c>
      <c r="F165" s="6">
        <f>SUM('By Lot - West Campus'!H1046,'By Lot - West Campus'!H1063,'By Lot - West Campus'!H1080,'By Lot - West Campus'!H1097,'By Lot - West Campus'!H1131,'By Lot - West Campus'!H1148,'By Lot - West Campus'!H1335,'By Lot - West Campus'!H1354,'By Lot - West Campus'!H1370,'By Lot - West Campus'!H1387,'By Lot - West Campus'!H1404,'By Lot - West Campus'!H1421,'By Lot - West Campus'!H1523)</f>
        <v>7</v>
      </c>
      <c r="G165" s="6">
        <f>SUM('By Lot - West Campus'!I1046,'By Lot - West Campus'!I1063,'By Lot - West Campus'!I1080,'By Lot - West Campus'!I1097,'By Lot - West Campus'!I1131,'By Lot - West Campus'!I1148,'By Lot - West Campus'!I1335,'By Lot - West Campus'!I1354,'By Lot - West Campus'!I1370,'By Lot - West Campus'!I1387,'By Lot - West Campus'!I1404,'By Lot - West Campus'!I1421,'By Lot - West Campus'!I1523)</f>
        <v>6</v>
      </c>
      <c r="H165" s="6">
        <f>SUM('By Lot - West Campus'!J1046,'By Lot - West Campus'!J1063,'By Lot - West Campus'!J1080,'By Lot - West Campus'!J1097,'By Lot - West Campus'!J1131,'By Lot - West Campus'!J1148,'By Lot - West Campus'!J1335,'By Lot - West Campus'!J1354,'By Lot - West Campus'!J1370,'By Lot - West Campus'!J1387,'By Lot - West Campus'!J1404,'By Lot - West Campus'!J1421,'By Lot - West Campus'!J1523)</f>
        <v>7</v>
      </c>
      <c r="I165" s="6">
        <f>SUM('By Lot - West Campus'!K1046,'By Lot - West Campus'!K1063,'By Lot - West Campus'!K1080,'By Lot - West Campus'!K1097,'By Lot - West Campus'!K1131,'By Lot - West Campus'!K1148,'By Lot - West Campus'!K1335,'By Lot - West Campus'!K1354,'By Lot - West Campus'!K1370,'By Lot - West Campus'!K1387,'By Lot - West Campus'!K1404,'By Lot - West Campus'!K1421,'By Lot - West Campus'!K1523)</f>
        <v>3</v>
      </c>
      <c r="J165" s="6">
        <f>SUM('By Lot - West Campus'!L1046,'By Lot - West Campus'!L1063,'By Lot - West Campus'!L1080,'By Lot - West Campus'!L1097,'By Lot - West Campus'!L1131,'By Lot - West Campus'!L1148,'By Lot - West Campus'!L1335,'By Lot - West Campus'!L1354,'By Lot - West Campus'!L1370,'By Lot - West Campus'!L1387,'By Lot - West Campus'!L1404,'By Lot - West Campus'!L1421,'By Lot - West Campus'!L1523)</f>
        <v>2</v>
      </c>
      <c r="K165" s="6">
        <f>SUM('By Lot - West Campus'!M1046,'By Lot - West Campus'!M1063,'By Lot - West Campus'!M1080,'By Lot - West Campus'!M1097,'By Lot - West Campus'!M1131,'By Lot - West Campus'!M1148,'By Lot - West Campus'!M1335,'By Lot - West Campus'!M1354,'By Lot - West Campus'!M1370,'By Lot - West Campus'!M1387,'By Lot - West Campus'!M1404,'By Lot - West Campus'!M1421,'By Lot - West Campus'!M1523)</f>
        <v>4</v>
      </c>
      <c r="L165" s="6">
        <f>SUM('By Lot - West Campus'!N1046,'By Lot - West Campus'!N1063,'By Lot - West Campus'!N1080,'By Lot - West Campus'!N1097,'By Lot - West Campus'!N1131,'By Lot - West Campus'!N1148,'By Lot - West Campus'!N1335,'By Lot - West Campus'!N1354,'By Lot - West Campus'!N1370,'By Lot - West Campus'!N1387,'By Lot - West Campus'!N1404,'By Lot - West Campus'!N1421,'By Lot - West Campus'!N1523)</f>
        <v>7</v>
      </c>
      <c r="M165" s="31">
        <f>SUM('By Lot - West Campus'!O1046,'By Lot - West Campus'!O1063,'By Lot - West Campus'!O1080,'By Lot - West Campus'!O1097,'By Lot - West Campus'!O1131,'By Lot - West Campus'!O1148,'By Lot - West Campus'!O1335,'By Lot - West Campus'!O1354,'By Lot - West Campus'!O1370,'By Lot - West Campus'!O1387,'By Lot - West Campus'!O1404,'By Lot - West Campus'!O1421,'By Lot - West Campus'!O1523)</f>
        <v>8</v>
      </c>
      <c r="N165" s="32">
        <f t="shared" si="55"/>
        <v>2</v>
      </c>
      <c r="O165" s="6">
        <f t="shared" si="56"/>
        <v>12</v>
      </c>
      <c r="P165" s="59">
        <f t="shared" si="57"/>
        <v>0.8571428571428571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1.25" customHeight="1" x14ac:dyDescent="0.4">
      <c r="A166" s="76"/>
      <c r="B166" s="65" t="s">
        <v>314</v>
      </c>
      <c r="C166" s="155">
        <f t="shared" ref="C166:M166" si="59">SUM(C155:C165)</f>
        <v>1110</v>
      </c>
      <c r="D166" s="101">
        <f t="shared" si="59"/>
        <v>368</v>
      </c>
      <c r="E166" s="102">
        <f t="shared" si="59"/>
        <v>105</v>
      </c>
      <c r="F166" s="102">
        <f t="shared" si="59"/>
        <v>59</v>
      </c>
      <c r="G166" s="102">
        <f t="shared" si="59"/>
        <v>54</v>
      </c>
      <c r="H166" s="102">
        <f t="shared" si="59"/>
        <v>54</v>
      </c>
      <c r="I166" s="102">
        <f t="shared" si="59"/>
        <v>48</v>
      </c>
      <c r="J166" s="102">
        <f t="shared" si="59"/>
        <v>59</v>
      </c>
      <c r="K166" s="102">
        <f t="shared" si="59"/>
        <v>88</v>
      </c>
      <c r="L166" s="102">
        <f t="shared" si="59"/>
        <v>159</v>
      </c>
      <c r="M166" s="103">
        <f t="shared" si="59"/>
        <v>217</v>
      </c>
      <c r="N166" s="104">
        <f t="shared" si="55"/>
        <v>48</v>
      </c>
      <c r="O166" s="128">
        <f t="shared" si="56"/>
        <v>1062</v>
      </c>
      <c r="P166" s="72">
        <f t="shared" si="57"/>
        <v>0.95675675675675675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1.25" customHeight="1" x14ac:dyDescent="0.4">
      <c r="A167" s="15" t="s">
        <v>27</v>
      </c>
      <c r="B167" s="32" t="s">
        <v>300</v>
      </c>
      <c r="C167" s="15">
        <f>SUM('By Lot - West Campus'!E1607,'By Lot - West Campus'!E1627,'By Lot - West Campus'!E1646,'By Lot - West Campus'!E1665,'By Lot - West Campus'!E1682,
'By Lot - West Campus'!E1699,'By Lot - West Campus'!E1716,'By Lot - West Campus'!E1733,'By Lot - West Campus'!E1750,'By Structure'!C74)</f>
        <v>360</v>
      </c>
      <c r="D167" s="108">
        <f>SUM('By Lot - West Campus'!F1607,'By Lot - West Campus'!F1627,'By Lot - West Campus'!F1646,'By Lot - West Campus'!F1665,'By Lot - West Campus'!F1682,
'By Lot - West Campus'!F1699,'By Lot - West Campus'!F1716,'By Lot - West Campus'!F1733,'By Lot - West Campus'!F1750,'By Structure'!D74)</f>
        <v>111</v>
      </c>
      <c r="E167" s="108">
        <f>SUM('By Lot - West Campus'!G1607,'By Lot - West Campus'!G1627,'By Lot - West Campus'!G1646,'By Lot - West Campus'!G1665,'By Lot - West Campus'!G1682,
'By Lot - West Campus'!G1699,'By Lot - West Campus'!G1716,'By Lot - West Campus'!G1733,'By Lot - West Campus'!G1750,'By Structure'!E74)</f>
        <v>4</v>
      </c>
      <c r="F167" s="108">
        <f>SUM('By Lot - West Campus'!H1607,'By Lot - West Campus'!H1627,'By Lot - West Campus'!H1646,'By Lot - West Campus'!H1665,'By Lot - West Campus'!H1682,
'By Lot - West Campus'!H1699,'By Lot - West Campus'!H1716,'By Lot - West Campus'!H1733,'By Lot - West Campus'!H1750,'By Structure'!F74)</f>
        <v>2</v>
      </c>
      <c r="G167" s="108">
        <f>SUM('By Lot - West Campus'!I1607,'By Lot - West Campus'!I1627,'By Lot - West Campus'!I1646,'By Lot - West Campus'!I1665,'By Lot - West Campus'!I1682,
'By Lot - West Campus'!I1699,'By Lot - West Campus'!I1716,'By Lot - West Campus'!I1733,'By Lot - West Campus'!I1750,'By Structure'!G74)</f>
        <v>2</v>
      </c>
      <c r="H167" s="108">
        <f>SUM('By Lot - West Campus'!J1607,'By Lot - West Campus'!J1627,'By Lot - West Campus'!J1646,'By Lot - West Campus'!J1665,'By Lot - West Campus'!J1682,
'By Lot - West Campus'!J1699,'By Lot - West Campus'!J1716,'By Lot - West Campus'!J1733,'By Lot - West Campus'!J1750,'By Structure'!H74)</f>
        <v>2</v>
      </c>
      <c r="I167" s="108">
        <f>SUM('By Lot - West Campus'!K1607,'By Lot - West Campus'!K1627,'By Lot - West Campus'!K1646,'By Lot - West Campus'!K1665,'By Lot - West Campus'!K1682,
'By Lot - West Campus'!K1699,'By Lot - West Campus'!K1716,'By Lot - West Campus'!K1733,'By Lot - West Campus'!K1750,'By Structure'!I74)</f>
        <v>4</v>
      </c>
      <c r="J167" s="108">
        <f>SUM('By Lot - West Campus'!L1607,'By Lot - West Campus'!L1627,'By Lot - West Campus'!L1646,'By Lot - West Campus'!L1665,'By Lot - West Campus'!L1682,
'By Lot - West Campus'!L1699,'By Lot - West Campus'!L1716,'By Lot - West Campus'!L1733,'By Lot - West Campus'!L1750,'By Structure'!J74)</f>
        <v>7</v>
      </c>
      <c r="K167" s="108">
        <f>SUM('By Lot - West Campus'!M1607,'By Lot - West Campus'!M1627,'By Lot - West Campus'!M1646,'By Lot - West Campus'!M1665,'By Lot - West Campus'!M1682,
'By Lot - West Campus'!M1699,'By Lot - West Campus'!M1716,'By Lot - West Campus'!M1733,'By Lot - West Campus'!M1750,'By Structure'!K74)</f>
        <v>22</v>
      </c>
      <c r="L167" s="108">
        <f>SUM('By Lot - West Campus'!N1607,'By Lot - West Campus'!N1627,'By Lot - West Campus'!N1646,'By Lot - West Campus'!N1665,'By Lot - West Campus'!N1682,
'By Lot - West Campus'!N1699,'By Lot - West Campus'!N1716,'By Lot - West Campus'!N1733,'By Lot - West Campus'!N1750,'By Structure'!L74)</f>
        <v>56</v>
      </c>
      <c r="M167" s="109">
        <f>SUM('By Lot - West Campus'!O1607,'By Lot - West Campus'!O1627,'By Lot - West Campus'!O1646,'By Lot - West Campus'!O1665,'By Lot - West Campus'!O1682,
'By Lot - West Campus'!O1699,'By Lot - West Campus'!O1716,'By Lot - West Campus'!O1733,'By Lot - West Campus'!O1750,'By Structure'!M74)</f>
        <v>89</v>
      </c>
      <c r="N167" s="6">
        <f t="shared" si="55"/>
        <v>2</v>
      </c>
      <c r="O167" s="6">
        <f t="shared" si="56"/>
        <v>358</v>
      </c>
      <c r="P167" s="59">
        <f t="shared" si="57"/>
        <v>0.99444444444444446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1.25" customHeight="1" x14ac:dyDescent="0.4">
      <c r="A168" s="17" t="s">
        <v>11</v>
      </c>
      <c r="B168" s="32" t="s">
        <v>323</v>
      </c>
      <c r="C168" s="17">
        <f>'By Lot - West Campus'!E1628</f>
        <v>48</v>
      </c>
      <c r="D168" s="6">
        <f>'By Lot - West Campus'!F1628</f>
        <v>30</v>
      </c>
      <c r="E168" s="6">
        <f>'By Lot - West Campus'!G1628</f>
        <v>0</v>
      </c>
      <c r="F168" s="6">
        <f>'By Lot - West Campus'!H1628</f>
        <v>0</v>
      </c>
      <c r="G168" s="6">
        <f>'By Lot - West Campus'!I1628</f>
        <v>0</v>
      </c>
      <c r="H168" s="6">
        <f>'By Lot - West Campus'!J1628</f>
        <v>1</v>
      </c>
      <c r="I168" s="6">
        <f>'By Lot - West Campus'!K1628</f>
        <v>1</v>
      </c>
      <c r="J168" s="6">
        <f>'By Lot - West Campus'!L1628</f>
        <v>4</v>
      </c>
      <c r="K168" s="6">
        <f>'By Lot - West Campus'!M1628</f>
        <v>7</v>
      </c>
      <c r="L168" s="6">
        <f>'By Lot - West Campus'!N1628</f>
        <v>10</v>
      </c>
      <c r="M168" s="31">
        <f>'By Lot - West Campus'!O1628</f>
        <v>12</v>
      </c>
      <c r="N168" s="6">
        <f t="shared" si="55"/>
        <v>0</v>
      </c>
      <c r="O168" s="6">
        <f t="shared" si="56"/>
        <v>48</v>
      </c>
      <c r="P168" s="59">
        <f t="shared" si="57"/>
        <v>1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1.25" customHeight="1" x14ac:dyDescent="0.4">
      <c r="A169" s="17" t="s">
        <v>42</v>
      </c>
      <c r="B169" s="32" t="s">
        <v>301</v>
      </c>
      <c r="C169" s="17">
        <f>SUM('By Lot - West Campus'!E1608,'By Lot - West Campus'!E1629,'By Lot - West Campus'!E1647,'By Lot - West Campus'!E1666,'By Lot - West Campus'!E1683,
'By Lot - West Campus'!E1700,'By Lot - West Campus'!E1717,'By Lot - West Campus'!E1734,'By Lot - West Campus'!E1751,'By Structure'!C75)</f>
        <v>558</v>
      </c>
      <c r="D169" s="6">
        <f>SUM('By Lot - West Campus'!F1608,'By Lot - West Campus'!F1629,'By Lot - West Campus'!F1647,'By Lot - West Campus'!F1666,'By Lot - West Campus'!F1683,
'By Lot - West Campus'!F1700,'By Lot - West Campus'!F1717,'By Lot - West Campus'!F1734,'By Lot - West Campus'!F1751,'By Structure'!D75)</f>
        <v>128</v>
      </c>
      <c r="E169" s="6">
        <f>SUM('By Lot - West Campus'!G1608,'By Lot - West Campus'!G1629,'By Lot - West Campus'!G1647,'By Lot - West Campus'!G1666,'By Lot - West Campus'!G1683,
'By Lot - West Campus'!G1700,'By Lot - West Campus'!G1717,'By Lot - West Campus'!G1734,'By Lot - West Campus'!G1751,'By Structure'!E75)</f>
        <v>1</v>
      </c>
      <c r="F169" s="6">
        <f>SUM('By Lot - West Campus'!H1629,'By Lot - West Campus'!H1647,'By Lot - West Campus'!H1666,'By Lot - West Campus'!H1683,
'By Lot - West Campus'!H1700,'By Lot - West Campus'!H1717,'By Lot - West Campus'!H1734,'By Lot - West Campus'!H1751,'By Structure'!F75)</f>
        <v>0</v>
      </c>
      <c r="G169" s="6">
        <f>SUM('By Lot - West Campus'!I1608,'By Lot - West Campus'!I1629,'By Lot - West Campus'!I1647,'By Lot - West Campus'!I1666,'By Lot - West Campus'!I1683,
'By Lot - West Campus'!I1700,'By Lot - West Campus'!I1717,'By Lot - West Campus'!I1734,'By Lot - West Campus'!I1751,'By Structure'!G75)</f>
        <v>0</v>
      </c>
      <c r="H169" s="6">
        <f>SUM('By Lot - West Campus'!J1608,'By Lot - West Campus'!J1629,'By Lot - West Campus'!J1647,'By Lot - West Campus'!J1666,'By Lot - West Campus'!J1683,
'By Lot - West Campus'!J1700,'By Lot - West Campus'!J1717,'By Lot - West Campus'!J1734,'By Lot - West Campus'!J1751,'By Structure'!H75)</f>
        <v>0</v>
      </c>
      <c r="I169" s="6">
        <f>SUM('By Lot - West Campus'!K1608,'By Lot - West Campus'!K1629,'By Lot - West Campus'!K1647,'By Lot - West Campus'!K1666,'By Lot - West Campus'!K1683,
'By Lot - West Campus'!K1700,'By Lot - West Campus'!K1717,'By Lot - West Campus'!K1734,'By Lot - West Campus'!K1751,'By Structure'!I75)</f>
        <v>0</v>
      </c>
      <c r="J169" s="6">
        <f>SUM('By Lot - West Campus'!L1608,'By Lot - West Campus'!L1629,'By Lot - West Campus'!L1647,'By Lot - West Campus'!L1666,'By Lot - West Campus'!L1683,
'By Lot - West Campus'!L1700,'By Lot - West Campus'!L1717,'By Lot - West Campus'!L1734,'By Lot - West Campus'!L1751,'By Structure'!J75)</f>
        <v>2</v>
      </c>
      <c r="K169" s="6">
        <f>SUM('By Lot - West Campus'!M1608,'By Lot - West Campus'!M1629,'By Lot - West Campus'!M1647,'By Lot - West Campus'!M1666,'By Lot - West Campus'!M1683,
'By Lot - West Campus'!M1700,'By Lot - West Campus'!M1717,'By Lot - West Campus'!M1734,'By Lot - West Campus'!M1751,'By Structure'!K75)</f>
        <v>51</v>
      </c>
      <c r="L169" s="6">
        <f>SUM('By Lot - West Campus'!N1608,'By Lot - West Campus'!N1629,'By Lot - West Campus'!N1647,'By Lot - West Campus'!N1666,'By Lot - West Campus'!N1683,
'By Lot - West Campus'!N1700,'By Lot - West Campus'!N1717,'By Lot - West Campus'!N1734,'By Lot - West Campus'!N1751,'By Structure'!L75)</f>
        <v>159</v>
      </c>
      <c r="M169" s="31">
        <f>SUM('By Lot - West Campus'!O1608,'By Lot - West Campus'!O1629,'By Lot - West Campus'!O1647,'By Lot - West Campus'!O1666,'By Lot - West Campus'!O1683,
'By Lot - West Campus'!O1700,'By Lot - West Campus'!O1717,'By Lot - West Campus'!O1734,'By Lot - West Campus'!O1751,'By Structure'!M75)</f>
        <v>343</v>
      </c>
      <c r="N169" s="6">
        <f t="shared" si="55"/>
        <v>0</v>
      </c>
      <c r="O169" s="6">
        <f t="shared" si="56"/>
        <v>558</v>
      </c>
      <c r="P169" s="59">
        <f t="shared" si="57"/>
        <v>1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1.25" customHeight="1" x14ac:dyDescent="0.4">
      <c r="A170" s="17"/>
      <c r="B170" s="32" t="s">
        <v>303</v>
      </c>
      <c r="C170" s="17">
        <f>SUM('By Lot - West Campus'!E1609,'By Lot - West Campus'!E1630,'By Lot - West Campus'!E1648,'By Lot - West Campus'!E1667,'By Lot - West Campus'!E1684,
'By Lot - West Campus'!E1701,'By Lot - West Campus'!E1718,'By Lot - West Campus'!E1735,'By Lot - West Campus'!E1752,'By Structure'!C76)</f>
        <v>428</v>
      </c>
      <c r="D170" s="6">
        <f>SUM('By Lot - West Campus'!F1609,'By Lot - West Campus'!F1630,'By Lot - West Campus'!F1648,'By Lot - West Campus'!F1667,'By Lot - West Campus'!F1684,
'By Lot - West Campus'!F1701,'By Lot - West Campus'!F1718,'By Lot - West Campus'!F1735,'By Lot - West Campus'!F1752,'By Structure'!D76)</f>
        <v>75</v>
      </c>
      <c r="E170" s="6">
        <f>SUM('By Lot - West Campus'!G1609,'By Lot - West Campus'!G1630,'By Lot - West Campus'!G1648,'By Lot - West Campus'!G1667,'By Lot - West Campus'!G1684,
'By Lot - West Campus'!G1701,'By Lot - West Campus'!G1718,'By Lot - West Campus'!G1735,'By Lot - West Campus'!G1752,'By Structure'!E76)</f>
        <v>2</v>
      </c>
      <c r="F170" s="6">
        <f>SUM('By Lot - West Campus'!H1609,'By Lot - West Campus'!H1630,'By Lot - West Campus'!H1648,'By Lot - West Campus'!H1667,'By Lot - West Campus'!H1684,
'By Lot - West Campus'!H1701,'By Lot - West Campus'!H1718,'By Lot - West Campus'!H1735,'By Lot - West Campus'!H1752,'By Structure'!F76)</f>
        <v>0</v>
      </c>
      <c r="G170" s="6">
        <f>SUM('By Lot - West Campus'!I1609,'By Lot - West Campus'!I1630,'By Lot - West Campus'!I1648,'By Lot - West Campus'!I1667,'By Lot - West Campus'!I1684,
'By Lot - West Campus'!I1701,'By Lot - West Campus'!I1718,'By Lot - West Campus'!I1735,'By Lot - West Campus'!I1752,'By Structure'!G76)</f>
        <v>0</v>
      </c>
      <c r="H170" s="6">
        <f>SUM('By Lot - West Campus'!J1609,'By Lot - West Campus'!J1630,'By Lot - West Campus'!J1648,'By Lot - West Campus'!J1667,'By Lot - West Campus'!J1684,
'By Lot - West Campus'!J1701,'By Lot - West Campus'!J1718,'By Lot - West Campus'!J1735,'By Lot - West Campus'!J1752,'By Structure'!H76)</f>
        <v>0</v>
      </c>
      <c r="I170" s="6">
        <f>SUM('By Lot - West Campus'!K1609,'By Lot - West Campus'!K1630,'By Lot - West Campus'!K1648,'By Lot - West Campus'!K1667,'By Lot - West Campus'!K1684,
'By Lot - West Campus'!K1701,'By Lot - West Campus'!K1718,'By Lot - West Campus'!K1735,'By Lot - West Campus'!K1752,'By Structure'!I76)</f>
        <v>0</v>
      </c>
      <c r="J170" s="6">
        <f>SUM('By Lot - West Campus'!L1609,'By Lot - West Campus'!L1630,'By Lot - West Campus'!L1648,'By Lot - West Campus'!L1667,'By Lot - West Campus'!L1684,
'By Lot - West Campus'!L1701,'By Lot - West Campus'!L1718,'By Lot - West Campus'!L1735,'By Lot - West Campus'!L1752,'By Structure'!J76)</f>
        <v>0</v>
      </c>
      <c r="K170" s="6">
        <f>SUM('By Lot - West Campus'!M1609,'By Lot - West Campus'!M1630,'By Lot - West Campus'!M1648,'By Lot - West Campus'!M1667,'By Lot - West Campus'!M1684,
'By Lot - West Campus'!M1701,'By Lot - West Campus'!M1718,'By Lot - West Campus'!M1735,'By Lot - West Campus'!M1752,'By Structure'!K76)</f>
        <v>13</v>
      </c>
      <c r="L170" s="6">
        <f>SUM('By Lot - West Campus'!N1609,'By Lot - West Campus'!N1630,'By Lot - West Campus'!N1648,'By Lot - West Campus'!N1667,'By Lot - West Campus'!N1684,
'By Lot - West Campus'!N1701,'By Lot - West Campus'!N1718,'By Lot - West Campus'!N1735,'By Lot - West Campus'!N1752,'By Structure'!L76)</f>
        <v>32</v>
      </c>
      <c r="M170" s="31">
        <f>SUM('By Lot - West Campus'!O1609,'By Lot - West Campus'!O1630,'By Lot - West Campus'!O1648,'By Lot - West Campus'!O1667,'By Lot - West Campus'!O1684,
'By Lot - West Campus'!O1701,'By Lot - West Campus'!O1718,'By Lot - West Campus'!O1735,'By Lot - West Campus'!O1752,'By Structure'!M76)</f>
        <v>52</v>
      </c>
      <c r="N170" s="6">
        <f t="shared" si="55"/>
        <v>0</v>
      </c>
      <c r="O170" s="6">
        <f t="shared" si="56"/>
        <v>428</v>
      </c>
      <c r="P170" s="59">
        <f t="shared" si="57"/>
        <v>1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1.25" customHeight="1" x14ac:dyDescent="0.4">
      <c r="A171" s="17"/>
      <c r="B171" s="32" t="s">
        <v>307</v>
      </c>
      <c r="C171" s="17">
        <f>SUM('By Lot - West Campus'!E1610,'By Lot - West Campus'!E1631,'By Lot - West Campus'!E1649,'By Lot - West Campus'!E1668,'By Lot - West Campus'!E1685,
'By Lot - West Campus'!E1702,'By Lot - West Campus'!E1719,'By Lot - West Campus'!E1736,'By Lot - West Campus'!E1753,'By Structure'!C77)</f>
        <v>85</v>
      </c>
      <c r="D171" s="6">
        <f>SUM('By Lot - West Campus'!F1610,'By Lot - West Campus'!F1631,'By Lot - West Campus'!F1649,'By Lot - West Campus'!F1668,'By Lot - West Campus'!F1685,
'By Lot - West Campus'!F1702,'By Lot - West Campus'!F1719,'By Lot - West Campus'!F1736,'By Lot - West Campus'!F1753,'By Structure'!D77)</f>
        <v>44</v>
      </c>
      <c r="E171" s="6">
        <f>SUM('By Lot - West Campus'!G1610,'By Lot - West Campus'!G1631,'By Lot - West Campus'!G1649,'By Lot - West Campus'!G1668,'By Lot - West Campus'!G1685,
'By Lot - West Campus'!G1702,'By Lot - West Campus'!G1719,'By Lot - West Campus'!G1736,'By Lot - West Campus'!G1753,'By Structure'!E77)</f>
        <v>29</v>
      </c>
      <c r="F171" s="6">
        <f>SUM('By Lot - West Campus'!H1610,'By Lot - West Campus'!H1631,'By Lot - West Campus'!H1649,'By Lot - West Campus'!H1668,'By Lot - West Campus'!H1685,
'By Lot - West Campus'!H1702,'By Lot - West Campus'!H1719,'By Lot - West Campus'!H1736,'By Lot - West Campus'!H1753,'By Structure'!F77)</f>
        <v>26</v>
      </c>
      <c r="G171" s="6">
        <f>SUM('By Lot - West Campus'!I1610,'By Lot - West Campus'!I1631,'By Lot - West Campus'!I1649,'By Lot - West Campus'!I1668,'By Lot - West Campus'!I1685,
'By Lot - West Campus'!I1702,'By Lot - West Campus'!I1719,'By Lot - West Campus'!I1736,'By Lot - West Campus'!I1753,'By Structure'!G77)</f>
        <v>22</v>
      </c>
      <c r="H171" s="6">
        <f>SUM('By Lot - West Campus'!J1610,'By Lot - West Campus'!J1631,'By Lot - West Campus'!J1649,'By Lot - West Campus'!J1668,'By Lot - West Campus'!J1685,
'By Lot - West Campus'!J1702,'By Lot - West Campus'!J1719,'By Lot - West Campus'!J1736,'By Lot - West Campus'!J1753,'By Structure'!H77)</f>
        <v>16</v>
      </c>
      <c r="I171" s="6">
        <f>SUM('By Lot - West Campus'!K1610,'By Lot - West Campus'!K1631,'By Lot - West Campus'!K1649,'By Lot - West Campus'!K1668,'By Lot - West Campus'!K1685,
'By Lot - West Campus'!K1702,'By Lot - West Campus'!K1719,'By Lot - West Campus'!K1736,'By Lot - West Campus'!K1753,'By Structure'!I77)</f>
        <v>7</v>
      </c>
      <c r="J171" s="6">
        <f>SUM('By Lot - West Campus'!L1610,'By Lot - West Campus'!L1631,'By Lot - West Campus'!L1649,'By Lot - West Campus'!L1668,'By Lot - West Campus'!L1685,
'By Lot - West Campus'!L1702,'By Lot - West Campus'!L1719,'By Lot - West Campus'!L1736,'By Lot - West Campus'!L1753,'By Structure'!J77)</f>
        <v>6</v>
      </c>
      <c r="K171" s="6">
        <f>SUM('By Lot - West Campus'!M1610,'By Lot - West Campus'!M1631,'By Lot - West Campus'!M1649,'By Lot - West Campus'!M1668,'By Lot - West Campus'!M1685,
'By Lot - West Campus'!M1702,'By Lot - West Campus'!M1719,'By Lot - West Campus'!M1736,'By Lot - West Campus'!M1753,'By Structure'!K77)</f>
        <v>13</v>
      </c>
      <c r="L171" s="6">
        <f>SUM('By Lot - West Campus'!N1610,'By Lot - West Campus'!N1631,'By Lot - West Campus'!N1649,'By Lot - West Campus'!N1668,'By Lot - West Campus'!N1685,
'By Lot - West Campus'!N1702,'By Lot - West Campus'!N1719,'By Lot - West Campus'!N1736,'By Lot - West Campus'!N1753,'By Structure'!L77)</f>
        <v>33</v>
      </c>
      <c r="M171" s="31">
        <f>SUM('By Lot - West Campus'!O1610,'By Lot - West Campus'!O1631,'By Lot - West Campus'!O1649,'By Lot - West Campus'!O1668,'By Lot - West Campus'!O1685,
'By Lot - West Campus'!O1702,'By Lot - West Campus'!O1719,'By Lot - West Campus'!O1736,'By Lot - West Campus'!O1753,'By Structure'!M77)</f>
        <v>39</v>
      </c>
      <c r="N171" s="6">
        <f t="shared" si="55"/>
        <v>6</v>
      </c>
      <c r="O171" s="6">
        <f t="shared" si="56"/>
        <v>79</v>
      </c>
      <c r="P171" s="59">
        <f t="shared" si="57"/>
        <v>0.92941176470588238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1.25" customHeight="1" x14ac:dyDescent="0.4">
      <c r="A172" s="17"/>
      <c r="B172" s="32" t="s">
        <v>308</v>
      </c>
      <c r="C172" s="17">
        <f>SUM('By Lot - West Campus'!E1615,'By Lot - West Campus'!E1633:E1635,'By Lot - West Campus'!E1651:E1653,'By Lot - West Campus'!E1670,
'By Lot - West Campus'!E1687,'By Lot - West Campus'!E1704,'By Lot - West Campus'!E1721,'By Lot - West Campus'!E1738,'By Lot - West Campus'!E1755,'By Structure'!C78)</f>
        <v>165</v>
      </c>
      <c r="D172" s="6">
        <f>SUM('By Lot - West Campus'!F1615,'By Lot - West Campus'!F1633:F1635,'By Lot - West Campus'!F1651:F1653,'By Lot - West Campus'!F1670,
'By Lot - West Campus'!F1687,'By Lot - West Campus'!F1704,'By Lot - West Campus'!F1721,'By Lot - West Campus'!F1738,'By Lot - West Campus'!F1755,'By Structure'!D78)</f>
        <v>122</v>
      </c>
      <c r="E172" s="6">
        <f>SUM('By Lot - West Campus'!G1615,'By Lot - West Campus'!G1633:G1635,'By Lot - West Campus'!G1651:G1653,'By Lot - West Campus'!G1670,
'By Lot - West Campus'!G1687,'By Lot - West Campus'!G1704,'By Lot - West Campus'!G1721,'By Lot - West Campus'!G1738,'By Lot - West Campus'!G1755,'By Structure'!E78)</f>
        <v>114</v>
      </c>
      <c r="F172" s="6">
        <f>SUM('By Lot - West Campus'!H1615,'By Lot - West Campus'!H1633:H1635,'By Lot - West Campus'!H1651:H1653,'By Lot - West Campus'!H1670,
'By Lot - West Campus'!H1687,'By Lot - West Campus'!H1704,'By Lot - West Campus'!H1721,'By Lot - West Campus'!H1738,'By Lot - West Campus'!H1755,'By Structure'!F78)</f>
        <v>111</v>
      </c>
      <c r="G172" s="6">
        <f>SUM('By Lot - West Campus'!I1615,'By Lot - West Campus'!I1633:I1635,'By Lot - West Campus'!I1651:I1653,'By Lot - West Campus'!I1670,
'By Lot - West Campus'!I1687,'By Lot - West Campus'!I1704,'By Lot - West Campus'!I1721,'By Lot - West Campus'!I1738,'By Lot - West Campus'!I1755,'By Structure'!G78)</f>
        <v>89</v>
      </c>
      <c r="H172" s="6">
        <f>SUM('By Lot - West Campus'!J1615,'By Lot - West Campus'!J1633:J1635,'By Lot - West Campus'!J1651:J1653,'By Lot - West Campus'!J1670,
'By Lot - West Campus'!J1687,'By Lot - West Campus'!J1704,'By Lot - West Campus'!J1721,'By Lot - West Campus'!J1738,'By Lot - West Campus'!J1755,'By Structure'!H78)</f>
        <v>88</v>
      </c>
      <c r="I172" s="6">
        <f>SUM('By Lot - West Campus'!K1615,'By Lot - West Campus'!K1633:K1635,'By Lot - West Campus'!K1651:K1653,'By Lot - West Campus'!K1670,
'By Lot - West Campus'!K1687,'By Lot - West Campus'!K1704,'By Lot - West Campus'!K1721,'By Lot - West Campus'!K1738,'By Lot - West Campus'!K1755,'By Structure'!I78)</f>
        <v>90</v>
      </c>
      <c r="J172" s="6">
        <f>SUM('By Lot - West Campus'!L1615,'By Lot - West Campus'!L1633:L1635,'By Lot - West Campus'!L1651:L1653,'By Lot - West Campus'!L1670,
'By Lot - West Campus'!L1687,'By Lot - West Campus'!L1704,'By Lot - West Campus'!L1721,'By Lot - West Campus'!L1738,'By Lot - West Campus'!L1755,'By Structure'!J78)</f>
        <v>94</v>
      </c>
      <c r="K172" s="6">
        <f>SUM('By Lot - West Campus'!M1615,'By Lot - West Campus'!M1633:M1635,'By Lot - West Campus'!M1651:M1653,'By Lot - West Campus'!M1670,
'By Lot - West Campus'!M1687,'By Lot - West Campus'!M1704,'By Lot - West Campus'!M1721,'By Lot - West Campus'!M1738,'By Lot - West Campus'!M1755,'By Structure'!K78)</f>
        <v>107</v>
      </c>
      <c r="L172" s="6">
        <f>SUM('By Lot - West Campus'!N1615,'By Lot - West Campus'!N1633:N1635,'By Lot - West Campus'!N1651:N1653,'By Lot - West Campus'!N1670,
'By Lot - West Campus'!N1687,'By Lot - West Campus'!N1704,'By Lot - West Campus'!N1721,'By Lot - West Campus'!N1738,'By Lot - West Campus'!N1755,'By Structure'!L78)</f>
        <v>112</v>
      </c>
      <c r="M172" s="31">
        <f>SUM('By Lot - West Campus'!O1615,'By Lot - West Campus'!O1633:O1635,'By Lot - West Campus'!O1651:O1653,'By Lot - West Campus'!O1670,
'By Lot - West Campus'!O1687,'By Lot - West Campus'!O1704,'By Lot - West Campus'!O1721,'By Lot - West Campus'!O1738,'By Lot - West Campus'!O1755,'By Structure'!M78)</f>
        <v>121</v>
      </c>
      <c r="N172" s="6">
        <f t="shared" si="55"/>
        <v>88</v>
      </c>
      <c r="O172" s="6">
        <f t="shared" si="56"/>
        <v>77</v>
      </c>
      <c r="P172" s="59">
        <f t="shared" si="57"/>
        <v>0.46666666666666667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1.25" customHeight="1" x14ac:dyDescent="0.4">
      <c r="A173" s="17"/>
      <c r="B173" s="32" t="s">
        <v>309</v>
      </c>
      <c r="C173" s="17">
        <f>SUM('By Lot - West Campus'!E1616:E1621,'By Lot - West Campus'!E1636:E1640,'By Lot - West Campus'!E1654:E1659,'By Lot - West Campus'!E1671:E1676,
'By Lot - West Campus'!E1688:E1693,'By Lot - West Campus'!E1705:E1710,'By Lot - West Campus'!E1722:E1727,'By Lot - West Campus'!E1739:E1744,'By Lot - West Campus'!E1756:E1761, 'By Structure'!C79)</f>
        <v>125</v>
      </c>
      <c r="D173" s="6">
        <f>SUM('By Lot - West Campus'!F1616:F1621,'By Lot - West Campus'!F1636:F1640,'By Lot - West Campus'!F1654:F1659,'By Lot - West Campus'!F1671:F1676,
'By Lot - West Campus'!F1688:F1693,'By Lot - West Campus'!F1705:F1710,'By Lot - West Campus'!F1722:F1727,'By Lot - West Campus'!F1739:F1744,'By Lot - West Campus'!F1756:F1761, 'By Structure'!D79)</f>
        <v>64</v>
      </c>
      <c r="E173" s="6">
        <f>SUM('By Lot - West Campus'!G1616:G1621,'By Lot - West Campus'!G1636:G1640,'By Lot - West Campus'!G1654:G1659,'By Lot - West Campus'!G1671:G1676,
'By Lot - West Campus'!G1688:G1693,'By Lot - West Campus'!G1705:G1710,'By Lot - West Campus'!G1722:G1727,'By Lot - West Campus'!G1739:G1744,'By Lot - West Campus'!G1756:G1761, 'By Structure'!E79)</f>
        <v>22</v>
      </c>
      <c r="F173" s="6">
        <f>SUM('By Lot - West Campus'!H1616:H1621,'By Lot - West Campus'!H1636:H1640,'By Lot - West Campus'!H1654:H1659,'By Lot - West Campus'!H1671:H1676,
'By Lot - West Campus'!H1688:H1693,'By Lot - West Campus'!H1705:H1710,'By Lot - West Campus'!H1722:H1727,'By Lot - West Campus'!H1739:H1744,'By Lot - West Campus'!H1756:H1761, 'By Structure'!F79)</f>
        <v>5</v>
      </c>
      <c r="G173" s="6">
        <f>SUM('By Lot - West Campus'!I1616:I1621,'By Lot - West Campus'!I1636:I1640,'By Lot - West Campus'!I1654:I1659,'By Lot - West Campus'!I1671:I1676,
'By Lot - West Campus'!I1688:I1693,'By Lot - West Campus'!I1705:I1710,'By Lot - West Campus'!I1722:I1727,'By Lot - West Campus'!I1739:I1744,'By Lot - West Campus'!I1756:I1761, 'By Structure'!G79)</f>
        <v>0</v>
      </c>
      <c r="H173" s="6">
        <f>SUM('By Lot - West Campus'!J1616:J1621,'By Lot - West Campus'!J1636:J1640,'By Lot - West Campus'!J1654:J1659,'By Lot - West Campus'!J1671:J1676,
'By Lot - West Campus'!J1688:J1693,'By Lot - West Campus'!J1705:J1710,'By Lot - West Campus'!J1722:J1727,'By Lot - West Campus'!J1739:J1744,'By Lot - West Campus'!J1756:J1761, 'By Structure'!H79)</f>
        <v>2</v>
      </c>
      <c r="I173" s="6">
        <f>SUM('By Lot - West Campus'!K1616:K1621,'By Lot - West Campus'!K1636:K1640,'By Lot - West Campus'!K1654:K1659,'By Lot - West Campus'!K1671:K1676,
'By Lot - West Campus'!K1688:K1693,'By Lot - West Campus'!K1705:K1710,'By Lot - West Campus'!K1722:K1727,'By Lot - West Campus'!K1739:K1744,'By Lot - West Campus'!K1756:K1761, 'By Structure'!I79)</f>
        <v>2</v>
      </c>
      <c r="J173" s="6">
        <f>SUM('By Lot - West Campus'!L1616:L1621,'By Lot - West Campus'!L1636:L1640,'By Lot - West Campus'!L1654:L1659,'By Lot - West Campus'!L1671:L1676,
'By Lot - West Campus'!L1688:L1693,'By Lot - West Campus'!L1705:L1710,'By Lot - West Campus'!L1722:L1727,'By Lot - West Campus'!L1739:L1744,'By Lot - West Campus'!L1756:L1761, 'By Structure'!J79)</f>
        <v>8</v>
      </c>
      <c r="K173" s="6">
        <f>SUM('By Lot - West Campus'!M1616:M1621,'By Lot - West Campus'!M1636:M1640,'By Lot - West Campus'!M1654:M1659,'By Lot - West Campus'!M1671:M1676,
'By Lot - West Campus'!M1688:M1693,'By Lot - West Campus'!M1705:M1710,'By Lot - West Campus'!M1722:M1727,'By Lot - West Campus'!M1739:M1744,'By Lot - West Campus'!M1756:M1761, 'By Structure'!K79)</f>
        <v>15</v>
      </c>
      <c r="L173" s="6">
        <f>SUM('By Lot - West Campus'!N1616:N1621,'By Lot - West Campus'!N1636:N1640,'By Lot - West Campus'!N1654:N1659,'By Lot - West Campus'!N1671:N1676,
'By Lot - West Campus'!N1688:N1693,'By Lot - West Campus'!N1705:N1710,'By Lot - West Campus'!N1722:N1727,'By Lot - West Campus'!N1739:N1744,'By Lot - West Campus'!N1756:N1761, 'By Structure'!L79)</f>
        <v>32</v>
      </c>
      <c r="M173" s="31">
        <f>SUM('By Lot - West Campus'!O1616:O1621,'By Lot - West Campus'!O1636:O1640,'By Lot - West Campus'!O1654:O1659,'By Lot - West Campus'!O1671:O1676,
'By Lot - West Campus'!O1688:O1693,'By Lot - West Campus'!O1705:O1710,'By Lot - West Campus'!O1722:O1727,'By Lot - West Campus'!O1739:O1744,'By Lot - West Campus'!O1756:O1761, 'By Structure'!M79)</f>
        <v>51</v>
      </c>
      <c r="N173" s="6">
        <f t="shared" si="55"/>
        <v>0</v>
      </c>
      <c r="O173" s="6">
        <f t="shared" si="56"/>
        <v>125</v>
      </c>
      <c r="P173" s="59">
        <f t="shared" si="57"/>
        <v>1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1.25" customHeight="1" x14ac:dyDescent="0.4">
      <c r="A174" s="17"/>
      <c r="B174" s="32" t="s">
        <v>310</v>
      </c>
      <c r="C174" s="17">
        <f>SUM('By Lot - West Campus'!E1622,'By Lot - West Campus'!E1641,'By Lot - West Campus'!E1660,'By Lot - West Campus'!E1677,
'By Lot - West Campus'!E1694,'By Lot - West Campus'!E1711,'By Lot - West Campus'!E1728,'By Lot - West Campus'!E1745,'By Lot - West Campus'!E1762,'By Structure'!C80)</f>
        <v>70</v>
      </c>
      <c r="D174" s="6">
        <f>SUM('By Lot - West Campus'!F1622,'By Lot - West Campus'!F1641,'By Lot - West Campus'!F1660,'By Lot - West Campus'!F1677,
'By Lot - West Campus'!F1694,'By Lot - West Campus'!F1711,'By Lot - West Campus'!F1728,'By Lot - West Campus'!F1745,'By Lot - West Campus'!F1762,'By Structure'!D80)</f>
        <v>30</v>
      </c>
      <c r="E174" s="6">
        <f>SUM('By Lot - West Campus'!G1622,'By Lot - West Campus'!G1641,'By Lot - West Campus'!G1660,'By Lot - West Campus'!G1677,
'By Lot - West Campus'!G1694,'By Lot - West Campus'!G1711,'By Lot - West Campus'!G1728,'By Lot - West Campus'!G1745,'By Lot - West Campus'!G1762,'By Structure'!E80)</f>
        <v>26</v>
      </c>
      <c r="F174" s="6">
        <f>SUM('By Lot - West Campus'!H1622,'By Lot - West Campus'!H1641,'By Lot - West Campus'!H1660,'By Lot - West Campus'!H1677,
'By Lot - West Campus'!H1694,'By Lot - West Campus'!H1711,'By Lot - West Campus'!H1728,'By Lot - West Campus'!H1745,'By Lot - West Campus'!H1762,'By Structure'!F80)</f>
        <v>17</v>
      </c>
      <c r="G174" s="6">
        <f>SUM('By Lot - West Campus'!I1622,'By Lot - West Campus'!I1641,'By Lot - West Campus'!I1660,'By Lot - West Campus'!I1677,
'By Lot - West Campus'!I1694,'By Lot - West Campus'!I1711,'By Lot - West Campus'!I1728,'By Lot - West Campus'!I1745,'By Lot - West Campus'!I1762,'By Structure'!G80)</f>
        <v>13</v>
      </c>
      <c r="H174" s="6">
        <f>SUM('By Lot - West Campus'!J1622,'By Lot - West Campus'!J1641,'By Lot - West Campus'!J1660,'By Lot - West Campus'!J1677,
'By Lot - West Campus'!J1694,'By Lot - West Campus'!J1711,'By Lot - West Campus'!J1728,'By Lot - West Campus'!J1745,'By Lot - West Campus'!J1762,'By Structure'!H80)</f>
        <v>15</v>
      </c>
      <c r="I174" s="6">
        <f>SUM('By Lot - West Campus'!K1622,'By Lot - West Campus'!K1641,'By Lot - West Campus'!K1660,'By Lot - West Campus'!K1677,
'By Lot - West Campus'!K1694,'By Lot - West Campus'!K1711,'By Lot - West Campus'!K1728,'By Lot - West Campus'!K1745,'By Lot - West Campus'!K1762,'By Structure'!I80)</f>
        <v>14</v>
      </c>
      <c r="J174" s="6">
        <f>SUM('By Lot - West Campus'!L1622,'By Lot - West Campus'!L1641,'By Lot - West Campus'!L1660,'By Lot - West Campus'!L1677,
'By Lot - West Campus'!L1694,'By Lot - West Campus'!L1711,'By Lot - West Campus'!L1728,'By Lot - West Campus'!L1745,'By Lot - West Campus'!L1762,'By Structure'!J80)</f>
        <v>27</v>
      </c>
      <c r="K174" s="6">
        <f>SUM('By Lot - West Campus'!M1622,'By Lot - West Campus'!M1641,'By Lot - West Campus'!M1660,'By Lot - West Campus'!M1677,
'By Lot - West Campus'!M1694,'By Lot - West Campus'!M1711,'By Lot - West Campus'!M1728,'By Lot - West Campus'!M1745,'By Lot - West Campus'!M1762,'By Structure'!K80)</f>
        <v>35</v>
      </c>
      <c r="L174" s="6">
        <f>SUM('By Lot - West Campus'!N1622,'By Lot - West Campus'!N1641,'By Lot - West Campus'!N1660,'By Lot - West Campus'!N1677,
'By Lot - West Campus'!N1694,'By Lot - West Campus'!N1711,'By Lot - West Campus'!N1728,'By Lot - West Campus'!N1745,'By Lot - West Campus'!N1762,'By Structure'!L80)</f>
        <v>47</v>
      </c>
      <c r="M174" s="31">
        <f>SUM('By Lot - West Campus'!O1622,'By Lot - West Campus'!O1641,'By Lot - West Campus'!O1660,'By Lot - West Campus'!O1677,
'By Lot - West Campus'!O1694,'By Lot - West Campus'!O1711,'By Lot - West Campus'!O1728,'By Lot - West Campus'!O1745,'By Lot - West Campus'!O1762,'By Structure'!M80)</f>
        <v>53</v>
      </c>
      <c r="N174" s="6">
        <f t="shared" si="55"/>
        <v>13</v>
      </c>
      <c r="O174" s="6">
        <f t="shared" si="56"/>
        <v>57</v>
      </c>
      <c r="P174" s="59">
        <f t="shared" si="57"/>
        <v>0.81428571428571428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1.25" customHeight="1" x14ac:dyDescent="0.4">
      <c r="A175" s="17"/>
      <c r="B175" s="32" t="s">
        <v>311</v>
      </c>
      <c r="C175" s="17">
        <f>SUM('By Lot - West Campus'!E1623,'By Lot - West Campus'!E1642,'By Lot - West Campus'!E1661,'By Lot - West Campus'!E1678,
'By Lot - West Campus'!E1695,'By Lot - West Campus'!E1712,'By Lot - West Campus'!E1729,'By Lot - West Campus'!E1746,'By Lot - West Campus'!E1763,'By Structure'!C81)</f>
        <v>22</v>
      </c>
      <c r="D175" s="6">
        <f>SUM('By Lot - West Campus'!F1623,'By Lot - West Campus'!F1642,'By Lot - West Campus'!F1661,'By Lot - West Campus'!F1678,
'By Lot - West Campus'!F1695,'By Lot - West Campus'!F1712,'By Lot - West Campus'!F1729,'By Lot - West Campus'!F1746,'By Lot - West Campus'!F1763,'By Structure'!D81)</f>
        <v>11</v>
      </c>
      <c r="E175" s="6">
        <f>SUM('By Lot - West Campus'!G1623,'By Lot - West Campus'!G1642,'By Lot - West Campus'!G1661,'By Lot - West Campus'!G1678,
'By Lot - West Campus'!G1695,'By Lot - West Campus'!G1712,'By Lot - West Campus'!G1729,'By Lot - West Campus'!G1746,'By Lot - West Campus'!G1763,'By Structure'!E81)</f>
        <v>13</v>
      </c>
      <c r="F175" s="6">
        <f>SUM('By Lot - West Campus'!H1623,'By Lot - West Campus'!H1642,'By Lot - West Campus'!H1661,'By Lot - West Campus'!H1678,
'By Lot - West Campus'!H1695,'By Lot - West Campus'!H1712,'By Lot - West Campus'!H1729,'By Lot - West Campus'!H1746,'By Lot - West Campus'!H1763,'By Structure'!F81)</f>
        <v>10</v>
      </c>
      <c r="G175" s="6">
        <f>SUM('By Lot - West Campus'!I1623,'By Lot - West Campus'!I1642,'By Lot - West Campus'!I1661,'By Lot - West Campus'!I1678,
'By Lot - West Campus'!I1695,'By Lot - West Campus'!I1712,'By Lot - West Campus'!I1729,'By Lot - West Campus'!I1746,'By Lot - West Campus'!I1763,'By Structure'!G81)</f>
        <v>11</v>
      </c>
      <c r="H175" s="6">
        <f>SUM('By Lot - West Campus'!J1623,'By Lot - West Campus'!J1642,'By Lot - West Campus'!J1661,'By Lot - West Campus'!J1678,
'By Lot - West Campus'!J1695,'By Lot - West Campus'!J1712,'By Lot - West Campus'!J1729,'By Lot - West Campus'!J1746,'By Lot - West Campus'!J1763,'By Structure'!H81)</f>
        <v>9</v>
      </c>
      <c r="I175" s="6">
        <f>SUM('By Lot - West Campus'!K1623,'By Lot - West Campus'!K1642,'By Lot - West Campus'!K1661,'By Lot - West Campus'!K1678,
'By Lot - West Campus'!K1695,'By Lot - West Campus'!K1712,'By Lot - West Campus'!K1729,'By Lot - West Campus'!K1746,'By Lot - West Campus'!K1763,'By Structure'!I81)</f>
        <v>10</v>
      </c>
      <c r="J175" s="6">
        <f>SUM('By Lot - West Campus'!L1623,'By Lot - West Campus'!L1642,'By Lot - West Campus'!L1661,'By Lot - West Campus'!L1678,
'By Lot - West Campus'!L1695,'By Lot - West Campus'!L1712,'By Lot - West Campus'!L1729,'By Lot - West Campus'!L1746,'By Lot - West Campus'!L1763,'By Structure'!J81)</f>
        <v>9</v>
      </c>
      <c r="K175" s="6">
        <f>SUM('By Lot - West Campus'!M1623,'By Lot - West Campus'!M1642,'By Lot - West Campus'!M1661,'By Lot - West Campus'!M1678,
'By Lot - West Campus'!M1695,'By Lot - West Campus'!M1712,'By Lot - West Campus'!M1729,'By Lot - West Campus'!M1746,'By Lot - West Campus'!M1763,'By Structure'!K81)</f>
        <v>8</v>
      </c>
      <c r="L175" s="6">
        <f>SUM('By Lot - West Campus'!N1623,'By Lot - West Campus'!N1642,'By Lot - West Campus'!N1661,'By Lot - West Campus'!N1678,
'By Lot - West Campus'!N1695,'By Lot - West Campus'!N1712,'By Lot - West Campus'!N1729,'By Lot - West Campus'!N1746,'By Lot - West Campus'!N1763,'By Structure'!L81)</f>
        <v>7</v>
      </c>
      <c r="M175" s="31">
        <f>SUM('By Lot - West Campus'!O1623,'By Lot - West Campus'!O1642,'By Lot - West Campus'!O1661,'By Lot - West Campus'!O1678,
'By Lot - West Campus'!O1695,'By Lot - West Campus'!O1712,'By Lot - West Campus'!O1729,'By Lot - West Campus'!O1746,'By Lot - West Campus'!O1763,'By Structure'!M81)</f>
        <v>8</v>
      </c>
      <c r="N175" s="6">
        <f t="shared" si="55"/>
        <v>7</v>
      </c>
      <c r="O175" s="6">
        <f t="shared" si="56"/>
        <v>15</v>
      </c>
      <c r="P175" s="59">
        <f t="shared" si="57"/>
        <v>0.68181818181818177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1.25" customHeight="1" x14ac:dyDescent="0.4">
      <c r="A176" s="17"/>
      <c r="B176" s="32" t="s">
        <v>312</v>
      </c>
      <c r="C176" s="17">
        <f>SUM('By Lot - West Campus'!E1624,'By Lot - West Campus'!E1643,'By Lot - West Campus'!E1662,'By Lot - West Campus'!E1679,
'By Lot - West Campus'!E1696,'By Lot - West Campus'!E1713,'By Lot - West Campus'!E1730,'By Lot - West Campus'!E1747,'By Lot - West Campus'!E1764,'By Structure'!C82)</f>
        <v>5</v>
      </c>
      <c r="D176" s="6">
        <f>SUM('By Lot - West Campus'!F1624,'By Lot - West Campus'!F1643,'By Lot - West Campus'!F1662,'By Lot - West Campus'!F1679,
'By Lot - West Campus'!F1696,'By Lot - West Campus'!F1713,'By Lot - West Campus'!F1730,'By Lot - West Campus'!F1747,'By Lot - West Campus'!F1764,'By Structure'!D82)</f>
        <v>2</v>
      </c>
      <c r="E176" s="6">
        <f>SUM('By Lot - West Campus'!G1624,'By Lot - West Campus'!G1643,'By Lot - West Campus'!G1662,'By Lot - West Campus'!G1679,
'By Lot - West Campus'!G1696,'By Lot - West Campus'!G1713,'By Lot - West Campus'!G1730,'By Lot - West Campus'!G1747,'By Lot - West Campus'!G1764,'By Structure'!E82)</f>
        <v>3</v>
      </c>
      <c r="F176" s="6">
        <f>SUM('By Lot - West Campus'!H1624,'By Lot - West Campus'!H1643,'By Lot - West Campus'!H1662,'By Lot - West Campus'!H1679,
'By Lot - West Campus'!H1696,'By Lot - West Campus'!H1713,'By Lot - West Campus'!H1730,'By Lot - West Campus'!H1747,'By Lot - West Campus'!H1764,'By Structure'!F82)</f>
        <v>2</v>
      </c>
      <c r="G176" s="6">
        <f>SUM('By Lot - West Campus'!I1624,'By Lot - West Campus'!I1643,'By Lot - West Campus'!I1662,'By Lot - West Campus'!I1679,
'By Lot - West Campus'!I1696,'By Lot - West Campus'!I1713,'By Lot - West Campus'!I1730,'By Lot - West Campus'!I1747,'By Lot - West Campus'!I1764,'By Structure'!G82)</f>
        <v>2</v>
      </c>
      <c r="H176" s="6">
        <f>SUM('By Lot - West Campus'!J1624,'By Lot - West Campus'!J1643,'By Lot - West Campus'!J1662,'By Lot - West Campus'!J1679,
'By Lot - West Campus'!J1696,'By Lot - West Campus'!J1713,'By Lot - West Campus'!J1730,'By Lot - West Campus'!J1747,'By Lot - West Campus'!J1764,'By Structure'!H82)</f>
        <v>1</v>
      </c>
      <c r="I176" s="6">
        <f>SUM('By Lot - West Campus'!K1624,'By Lot - West Campus'!K1643,'By Lot - West Campus'!K1662,'By Lot - West Campus'!K1679,
'By Lot - West Campus'!K1696,'By Lot - West Campus'!K1713,'By Lot - West Campus'!K1730,'By Lot - West Campus'!K1747,'By Lot - West Campus'!K1764,'By Structure'!I82)</f>
        <v>1</v>
      </c>
      <c r="J176" s="6">
        <f>SUM('By Lot - West Campus'!L1624,'By Lot - West Campus'!L1643,'By Lot - West Campus'!L1662,'By Lot - West Campus'!L1679,
'By Lot - West Campus'!L1696,'By Lot - West Campus'!L1713,'By Lot - West Campus'!L1730,'By Lot - West Campus'!L1747,'By Lot - West Campus'!L1764,'By Structure'!J82)</f>
        <v>2</v>
      </c>
      <c r="K176" s="6">
        <f>SUM('By Lot - West Campus'!M1624,'By Lot - West Campus'!M1643,'By Lot - West Campus'!M1662,'By Lot - West Campus'!M1679,
'By Lot - West Campus'!M1696,'By Lot - West Campus'!M1713,'By Lot - West Campus'!M1730,'By Lot - West Campus'!M1747,'By Lot - West Campus'!M1764,'By Structure'!K82)</f>
        <v>1</v>
      </c>
      <c r="L176" s="6">
        <f>SUM('By Lot - West Campus'!N1624,'By Lot - West Campus'!N1643,'By Lot - West Campus'!N1662,'By Lot - West Campus'!N1679,
'By Lot - West Campus'!N1696,'By Lot - West Campus'!N1713,'By Lot - West Campus'!N1730,'By Lot - West Campus'!N1747,'By Lot - West Campus'!N1764,'By Structure'!L82)</f>
        <v>2</v>
      </c>
      <c r="M176" s="31">
        <f>SUM('By Lot - West Campus'!O1624,'By Lot - West Campus'!O1643,'By Lot - West Campus'!O1662,'By Lot - West Campus'!O1679,
'By Lot - West Campus'!O1696,'By Lot - West Campus'!O1713,'By Lot - West Campus'!O1730,'By Lot - West Campus'!O1747,'By Lot - West Campus'!O1764,'By Structure'!M82)</f>
        <v>2</v>
      </c>
      <c r="N176" s="6">
        <f t="shared" si="55"/>
        <v>1</v>
      </c>
      <c r="O176" s="6">
        <f t="shared" si="56"/>
        <v>4</v>
      </c>
      <c r="P176" s="59">
        <f t="shared" si="57"/>
        <v>0.8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1.25" customHeight="1" x14ac:dyDescent="0.4">
      <c r="A177" s="17"/>
      <c r="B177" s="32" t="s">
        <v>313</v>
      </c>
      <c r="C177" s="17">
        <f>SUM('By Lot - West Campus'!E1625,'By Lot - West Campus'!E1644,'By Lot - West Campus'!E1663,'By Lot - West Campus'!E1680,
'By Lot - West Campus'!E1697,'By Lot - West Campus'!E1714,'By Lot - West Campus'!E1731,'By Lot - West Campus'!E1748,'By Lot - West Campus'!E1765,'By Structure'!C83)</f>
        <v>11</v>
      </c>
      <c r="D177" s="117">
        <f>SUM('By Lot - West Campus'!F1625,'By Lot - West Campus'!F1644,'By Lot - West Campus'!F1663,'By Lot - West Campus'!F1680,
'By Lot - West Campus'!F1697,'By Lot - West Campus'!F1714,'By Lot - West Campus'!F1731,'By Lot - West Campus'!F1748,'By Lot - West Campus'!F1765,'By Structure'!D83)</f>
        <v>5</v>
      </c>
      <c r="E177" s="117">
        <f>SUM('By Lot - West Campus'!G1625,'By Lot - West Campus'!G1644,'By Lot - West Campus'!G1663,'By Lot - West Campus'!G1680,
'By Lot - West Campus'!G1697,'By Lot - West Campus'!G1714,'By Lot - West Campus'!G1731,'By Lot - West Campus'!G1748,'By Lot - West Campus'!G1765,'By Structure'!E83)</f>
        <v>6</v>
      </c>
      <c r="F177" s="117">
        <f>SUM('By Lot - West Campus'!H1625,'By Lot - West Campus'!H1644,'By Lot - West Campus'!H1663,'By Lot - West Campus'!H1680,
'By Lot - West Campus'!H1697,'By Lot - West Campus'!H1714,'By Lot - West Campus'!H1731,'By Lot - West Campus'!H1748,'By Lot - West Campus'!H1765,'By Structure'!F83)</f>
        <v>4</v>
      </c>
      <c r="G177" s="117">
        <f>SUM('By Lot - West Campus'!I1625,'By Lot - West Campus'!I1644,'By Lot - West Campus'!I1663,'By Lot - West Campus'!I1680,
'By Lot - West Campus'!I1697,'By Lot - West Campus'!I1714,'By Lot - West Campus'!I1731,'By Lot - West Campus'!I1748,'By Lot - West Campus'!I1765,'By Structure'!G83)</f>
        <v>5</v>
      </c>
      <c r="H177" s="117">
        <f>SUM('By Lot - West Campus'!J1625,'By Lot - West Campus'!J1644,'By Lot - West Campus'!J1663,'By Lot - West Campus'!J1680,
'By Lot - West Campus'!J1697,'By Lot - West Campus'!J1714,'By Lot - West Campus'!J1731,'By Lot - West Campus'!J1748,'By Lot - West Campus'!J1765,'By Structure'!H83)</f>
        <v>1</v>
      </c>
      <c r="I177" s="117">
        <f>SUM('By Lot - West Campus'!K1625,'By Lot - West Campus'!K1644,'By Lot - West Campus'!K1663,'By Lot - West Campus'!K1680,
'By Lot - West Campus'!K1697,'By Lot - West Campus'!K1714,'By Lot - West Campus'!K1731,'By Lot - West Campus'!K1748,'By Lot - West Campus'!K1765,'By Structure'!I83)</f>
        <v>3</v>
      </c>
      <c r="J177" s="117">
        <f>SUM('By Lot - West Campus'!L1625,'By Lot - West Campus'!L1644,'By Lot - West Campus'!L1663,'By Lot - West Campus'!L1680,
'By Lot - West Campus'!L1697,'By Lot - West Campus'!L1714,'By Lot - West Campus'!L1731,'By Lot - West Campus'!L1748,'By Lot - West Campus'!L1765,'By Structure'!J83)</f>
        <v>2</v>
      </c>
      <c r="K177" s="117">
        <f>SUM('By Lot - West Campus'!M1625,'By Lot - West Campus'!M1644,'By Lot - West Campus'!M1663,'By Lot - West Campus'!M1680,
'By Lot - West Campus'!M1697,'By Lot - West Campus'!M1714,'By Lot - West Campus'!M1731,'By Lot - West Campus'!M1748,'By Lot - West Campus'!M1765,'By Structure'!K83)</f>
        <v>4</v>
      </c>
      <c r="L177" s="117">
        <f>SUM('By Lot - West Campus'!N1625,'By Lot - West Campus'!N1644,'By Lot - West Campus'!N1663,'By Lot - West Campus'!N1680,
'By Lot - West Campus'!N1697,'By Lot - West Campus'!N1714,'By Lot - West Campus'!N1731,'By Lot - West Campus'!N1748,'By Lot - West Campus'!N1765,'By Structure'!L83)</f>
        <v>6</v>
      </c>
      <c r="M177" s="35">
        <f>SUM('By Lot - West Campus'!O1625,'By Lot - West Campus'!O1644,'By Lot - West Campus'!O1663,'By Lot - West Campus'!O1680,
'By Lot - West Campus'!O1697,'By Lot - West Campus'!O1714,'By Lot - West Campus'!O1731,'By Lot - West Campus'!O1748,'By Lot - West Campus'!O1765,'By Structure'!M83)</f>
        <v>8</v>
      </c>
      <c r="N177" s="6">
        <f t="shared" si="55"/>
        <v>1</v>
      </c>
      <c r="O177" s="6">
        <f t="shared" si="56"/>
        <v>10</v>
      </c>
      <c r="P177" s="59">
        <f t="shared" si="57"/>
        <v>0.90909090909090906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1.25" customHeight="1" x14ac:dyDescent="0.4">
      <c r="A178" s="34"/>
      <c r="B178" s="65" t="s">
        <v>314</v>
      </c>
      <c r="C178" s="65">
        <f t="shared" ref="C178:M178" si="60">SUM(C167:C177)</f>
        <v>1877</v>
      </c>
      <c r="D178" s="118">
        <f t="shared" si="60"/>
        <v>622</v>
      </c>
      <c r="E178" s="119">
        <f t="shared" si="60"/>
        <v>220</v>
      </c>
      <c r="F178" s="119">
        <f t="shared" si="60"/>
        <v>177</v>
      </c>
      <c r="G178" s="119">
        <f t="shared" si="60"/>
        <v>144</v>
      </c>
      <c r="H178" s="119">
        <f t="shared" si="60"/>
        <v>135</v>
      </c>
      <c r="I178" s="119">
        <f t="shared" si="60"/>
        <v>132</v>
      </c>
      <c r="J178" s="119">
        <f t="shared" si="60"/>
        <v>161</v>
      </c>
      <c r="K178" s="119">
        <f t="shared" si="60"/>
        <v>276</v>
      </c>
      <c r="L178" s="119">
        <f t="shared" si="60"/>
        <v>496</v>
      </c>
      <c r="M178" s="120">
        <f t="shared" si="60"/>
        <v>778</v>
      </c>
      <c r="N178" s="104">
        <f t="shared" si="55"/>
        <v>132</v>
      </c>
      <c r="O178" s="128">
        <f t="shared" si="56"/>
        <v>1745</v>
      </c>
      <c r="P178" s="72">
        <f t="shared" si="57"/>
        <v>0.92967501331912628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1.25" customHeight="1" x14ac:dyDescent="0.4">
      <c r="A179" s="15" t="s">
        <v>26</v>
      </c>
      <c r="B179" s="17" t="s">
        <v>300</v>
      </c>
      <c r="C179" s="159">
        <f>SUM('By Lot - West Campus'!E1099,'By Lot - West Campus'!E1150, 'By Lot - West Campus'!E1235,'By Lot - West Campus'!E1269,
'By Lot - West Campus'!E1423)</f>
        <v>0</v>
      </c>
      <c r="D179" s="160">
        <f>SUM('By Lot - West Campus'!F1099,'By Lot - West Campus'!F1150,'By Lot - West Campus'!F1167,'By Lot - West Campus'!F1184,'By Lot - West Campus'!F1201,'By Lot - West Campus'!F1218,'By Lot - West Campus'!F1235,'By Lot - West Campus'!F1269,'By Lot - West Campus'!F1286,'By Lot - West Campus'!F1423)</f>
        <v>0</v>
      </c>
      <c r="E179" s="161">
        <f>SUM('By Lot - West Campus'!G1099,'By Lot - West Campus'!G1150,'By Lot - West Campus'!G1167,'By Lot - West Campus'!G1184,'By Lot - West Campus'!G1201,'By Lot - West Campus'!G1218,'By Lot - West Campus'!G1235,'By Lot - West Campus'!G1269,'By Lot - West Campus'!G1286,'By Lot - West Campus'!G1423)</f>
        <v>0</v>
      </c>
      <c r="F179" s="161">
        <f>SUM('By Lot - West Campus'!H1099,'By Lot - West Campus'!H1150,'By Lot - West Campus'!H1167,'By Lot - West Campus'!H1184,'By Lot - West Campus'!H1201,'By Lot - West Campus'!H1218,'By Lot - West Campus'!H1235,'By Lot - West Campus'!H1269,'By Lot - West Campus'!H1286,'By Lot - West Campus'!H1423)</f>
        <v>0</v>
      </c>
      <c r="G179" s="161">
        <f>SUM('By Lot - West Campus'!I1099,'By Lot - West Campus'!I1150,'By Lot - West Campus'!I1167,'By Lot - West Campus'!I1184,'By Lot - West Campus'!I1201,'By Lot - West Campus'!I1218,'By Lot - West Campus'!I1235,'By Lot - West Campus'!I1269,'By Lot - West Campus'!I1286,'By Lot - West Campus'!I1423)</f>
        <v>0</v>
      </c>
      <c r="H179" s="161">
        <f>SUM('By Lot - West Campus'!J1099,'By Lot - West Campus'!J1150,'By Lot - West Campus'!J1167,'By Lot - West Campus'!J1184,'By Lot - West Campus'!J1201,'By Lot - West Campus'!J1218,'By Lot - West Campus'!J1235,'By Lot - West Campus'!J1269,'By Lot - West Campus'!J1286,'By Lot - West Campus'!J1423)</f>
        <v>0</v>
      </c>
      <c r="I179" s="161">
        <f>SUM('By Lot - West Campus'!K1099,'By Lot - West Campus'!K1150,'By Lot - West Campus'!K1167,'By Lot - West Campus'!K1184,'By Lot - West Campus'!K1201,'By Lot - West Campus'!K1218,'By Lot - West Campus'!K1235,'By Lot - West Campus'!K1269,'By Lot - West Campus'!K1286,'By Lot - West Campus'!K1423)</f>
        <v>0</v>
      </c>
      <c r="J179" s="161">
        <f>SUM('By Lot - West Campus'!L1099,'By Lot - West Campus'!L1150,'By Lot - West Campus'!L1167,'By Lot - West Campus'!L1184,'By Lot - West Campus'!L1201,'By Lot - West Campus'!L1218,'By Lot - West Campus'!L1235,'By Lot - West Campus'!L1269,'By Lot - West Campus'!L1286,'By Lot - West Campus'!L1423)</f>
        <v>0</v>
      </c>
      <c r="K179" s="161">
        <f>SUM('By Lot - West Campus'!M1099,'By Lot - West Campus'!M1150,'By Lot - West Campus'!M1167,'By Lot - West Campus'!M1184,'By Lot - West Campus'!M1201,'By Lot - West Campus'!M1218,'By Lot - West Campus'!M1235,'By Lot - West Campus'!M1269,'By Lot - West Campus'!M1286,'By Lot - West Campus'!M1423)</f>
        <v>0</v>
      </c>
      <c r="L179" s="161">
        <f>SUM('By Lot - West Campus'!N1099,'By Lot - West Campus'!N1150,'By Lot - West Campus'!N1167,'By Lot - West Campus'!N1184,'By Lot - West Campus'!N1201,'By Lot - West Campus'!N1218,'By Lot - West Campus'!N1235,'By Lot - West Campus'!N1269,'By Lot - West Campus'!N1286,'By Lot - West Campus'!N1423)</f>
        <v>0</v>
      </c>
      <c r="M179" s="162">
        <f>SUM('By Lot - West Campus'!O1099,'By Lot - West Campus'!O1150,'By Lot - West Campus'!O1167,'By Lot - West Campus'!O1184,'By Lot - West Campus'!O1201,'By Lot - West Campus'!O1218,'By Lot - West Campus'!O1235,'By Lot - West Campus'!O1269,'By Lot - West Campus'!O1286,'By Lot - West Campus'!O1423)</f>
        <v>0</v>
      </c>
      <c r="N179" s="160">
        <f t="shared" si="55"/>
        <v>0</v>
      </c>
      <c r="O179" s="161">
        <f t="shared" si="56"/>
        <v>0</v>
      </c>
      <c r="P179" s="163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1.25" customHeight="1" x14ac:dyDescent="0.4">
      <c r="A180" s="17" t="s">
        <v>12</v>
      </c>
      <c r="B180" s="17" t="s">
        <v>301</v>
      </c>
      <c r="C180" s="130">
        <f>SUM('By Lot - West Campus'!E1100,'By Lot - West Campus'!E1151,'By Lot - West Campus'!E1168,
'By Lot - West Campus'!E1185,'By Lot - West Campus'!E1202,'By Lot - West Campus'!E1219,
'By Lot - West Campus'!E1236,'By Lot - West Campus'!E1270,'By Lot - West Campus'!E1287,
'By Lot - West Campus'!E1424)</f>
        <v>0</v>
      </c>
      <c r="D180" s="97">
        <f>SUM('By Lot - West Campus'!F1100,'By Lot - West Campus'!F1151,'By Lot - West Campus'!F1168,'By Lot - West Campus'!F1185,'By Lot - West Campus'!F1202,'By Lot - West Campus'!F1219,'By Lot - West Campus'!F1236,'By Lot - West Campus'!F1270,'By Lot - West Campus'!F1287,'By Lot - West Campus'!F1424)</f>
        <v>0</v>
      </c>
      <c r="E180" s="98">
        <f>SUM('By Lot - West Campus'!G1100,'By Lot - West Campus'!G1151,'By Lot - West Campus'!G1168,'By Lot - West Campus'!G1185,'By Lot - West Campus'!G1202,'By Lot - West Campus'!G1219,'By Lot - West Campus'!G1236,'By Lot - West Campus'!G1270,'By Lot - West Campus'!G1287,'By Lot - West Campus'!G1424)</f>
        <v>0</v>
      </c>
      <c r="F180" s="98">
        <f>SUM('By Lot - West Campus'!H1100,'By Lot - West Campus'!H1151,'By Lot - West Campus'!H1168,'By Lot - West Campus'!H1185,'By Lot - West Campus'!H1202,'By Lot - West Campus'!H1219,'By Lot - West Campus'!H1236,'By Lot - West Campus'!H1270,'By Lot - West Campus'!H1287,'By Lot - West Campus'!H1424)</f>
        <v>0</v>
      </c>
      <c r="G180" s="98">
        <f>SUM('By Lot - West Campus'!I1100,'By Lot - West Campus'!I1151,'By Lot - West Campus'!I1168,'By Lot - West Campus'!I1185,'By Lot - West Campus'!I1202,'By Lot - West Campus'!I1219,'By Lot - West Campus'!I1236,'By Lot - West Campus'!I1270,'By Lot - West Campus'!I1287,'By Lot - West Campus'!I1424)</f>
        <v>0</v>
      </c>
      <c r="H180" s="98">
        <f>SUM('By Lot - West Campus'!J1100,'By Lot - West Campus'!J1151,'By Lot - West Campus'!J1168,'By Lot - West Campus'!J1185,'By Lot - West Campus'!J1202,'By Lot - West Campus'!J1219,'By Lot - West Campus'!J1236,'By Lot - West Campus'!J1270,'By Lot - West Campus'!J1287,'By Lot - West Campus'!J1424)</f>
        <v>0</v>
      </c>
      <c r="I180" s="98">
        <f>SUM('By Lot - West Campus'!K1100,'By Lot - West Campus'!K1151,'By Lot - West Campus'!K1168,'By Lot - West Campus'!K1185,'By Lot - West Campus'!K1202,'By Lot - West Campus'!K1219,'By Lot - West Campus'!K1236,'By Lot - West Campus'!K1270,'By Lot - West Campus'!K1287,'By Lot - West Campus'!K1424)</f>
        <v>0</v>
      </c>
      <c r="J180" s="98">
        <f>SUM('By Lot - West Campus'!L1100,'By Lot - West Campus'!L1151,'By Lot - West Campus'!L1168,'By Lot - West Campus'!L1185,'By Lot - West Campus'!L1202,'By Lot - West Campus'!L1219,'By Lot - West Campus'!L1236,'By Lot - West Campus'!L1270,'By Lot - West Campus'!L1287,'By Lot - West Campus'!L1424)</f>
        <v>0</v>
      </c>
      <c r="K180" s="98">
        <f>SUM('By Lot - West Campus'!M1100,'By Lot - West Campus'!M1151,'By Lot - West Campus'!M1168,'By Lot - West Campus'!M1185,'By Lot - West Campus'!M1202,'By Lot - West Campus'!M1219,'By Lot - West Campus'!M1236,'By Lot - West Campus'!M1270,'By Lot - West Campus'!M1287,'By Lot - West Campus'!M1424)</f>
        <v>0</v>
      </c>
      <c r="L180" s="98">
        <f>SUM('By Lot - West Campus'!N1100,'By Lot - West Campus'!N1151,'By Lot - West Campus'!N1168,'By Lot - West Campus'!N1185,'By Lot - West Campus'!N1202,'By Lot - West Campus'!N1219,'By Lot - West Campus'!N1236,'By Lot - West Campus'!N1270,'By Lot - West Campus'!N1287,'By Lot - West Campus'!N1424)</f>
        <v>0</v>
      </c>
      <c r="M180" s="99">
        <f>SUM('By Lot - West Campus'!O1100,'By Lot - West Campus'!O1151,'By Lot - West Campus'!O1168,'By Lot - West Campus'!O1185,'By Lot - West Campus'!O1202,'By Lot - West Campus'!O1219,'By Lot - West Campus'!O1236,'By Lot - West Campus'!O1270,'By Lot - West Campus'!O1287,'By Lot - West Campus'!O1424)</f>
        <v>0</v>
      </c>
      <c r="N180" s="97">
        <f t="shared" si="55"/>
        <v>0</v>
      </c>
      <c r="O180" s="98">
        <f t="shared" si="56"/>
        <v>0</v>
      </c>
      <c r="P180" s="132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1.25" customHeight="1" x14ac:dyDescent="0.4">
      <c r="A181" s="17"/>
      <c r="B181" s="17" t="s">
        <v>303</v>
      </c>
      <c r="C181" s="17"/>
      <c r="D181" s="32"/>
      <c r="E181" s="6"/>
      <c r="F181" s="6"/>
      <c r="G181" s="6"/>
      <c r="H181" s="6"/>
      <c r="I181" s="6"/>
      <c r="J181" s="6"/>
      <c r="K181" s="6"/>
      <c r="L181" s="6"/>
      <c r="M181" s="31"/>
      <c r="N181" s="32"/>
      <c r="O181" s="6"/>
      <c r="P181" s="59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1.25" customHeight="1" x14ac:dyDescent="0.4">
      <c r="A182" s="17"/>
      <c r="B182" s="17" t="s">
        <v>307</v>
      </c>
      <c r="C182" s="159">
        <f>SUM('By Lot - West Campus'!E1102:E1103,'By Lot - West Campus'!E1153:E1154,'By Lot - West Campus'!E1170:E1171,'By Lot - West Campus'!E1187:E1188,'By Lot - West Campus'!E1204:E1205,'By Lot - West Campus'!E1221:E1222,'By Lot - West Campus'!E1238:E1239,'By Lot - West Campus'!E1272:E1273,'By Lot - West Campus'!E1426:E1427)</f>
        <v>0</v>
      </c>
      <c r="D182" s="160">
        <f>SUM('By Lot - West Campus'!F1102:F1103,'By Lot - West Campus'!F1153:F1154,'By Lot - West Campus'!F1170:F1171,'By Lot - West Campus'!F1187:F1188,'By Lot - West Campus'!F1204:F1205,'By Lot - West Campus'!F1221:F1222,'By Lot - West Campus'!F1238:F1239,'By Lot - West Campus'!F1272:F1273,'By Lot - West Campus'!F1426:F1427)</f>
        <v>0</v>
      </c>
      <c r="E182" s="161">
        <f>SUM('By Lot - West Campus'!G1102:G1103,'By Lot - West Campus'!G1153:G1154,'By Lot - West Campus'!G1170:G1171,'By Lot - West Campus'!G1187:G1188,'By Lot - West Campus'!G1204:G1205,'By Lot - West Campus'!G1221:G1222,'By Lot - West Campus'!G1238:G1239,'By Lot - West Campus'!G1272:G1273,'By Lot - West Campus'!G1426:G1427)</f>
        <v>0</v>
      </c>
      <c r="F182" s="161">
        <f>SUM('By Lot - West Campus'!H1102:H1103,'By Lot - West Campus'!H1153:H1154,'By Lot - West Campus'!H1170:H1171,'By Lot - West Campus'!H1187:H1188,'By Lot - West Campus'!H1204:H1205,'By Lot - West Campus'!H1221:H1222,'By Lot - West Campus'!H1238:H1239,'By Lot - West Campus'!H1272:H1273,'By Lot - West Campus'!H1426:H1427)</f>
        <v>0</v>
      </c>
      <c r="G182" s="161">
        <f>SUM('By Lot - West Campus'!I1102:I1103,'By Lot - West Campus'!I1153:I1154,'By Lot - West Campus'!I1170:I1171,'By Lot - West Campus'!I1187:I1188,'By Lot - West Campus'!I1204:I1205,'By Lot - West Campus'!I1221:I1222,'By Lot - West Campus'!I1238:I1239,'By Lot - West Campus'!I1272:I1273,'By Lot - West Campus'!I1426:I1427)</f>
        <v>0</v>
      </c>
      <c r="H182" s="161">
        <f>SUM('By Lot - West Campus'!J1102:J1103,'By Lot - West Campus'!J1153:J1154,'By Lot - West Campus'!J1170:J1171,'By Lot - West Campus'!J1187:J1188,'By Lot - West Campus'!J1204:J1205,'By Lot - West Campus'!J1221:J1222,'By Lot - West Campus'!J1238:J1239,'By Lot - West Campus'!J1272:J1273,'By Lot - West Campus'!J1426:J1427)</f>
        <v>0</v>
      </c>
      <c r="I182" s="161">
        <f>SUM('By Lot - West Campus'!K1102:K1103,'By Lot - West Campus'!K1153:K1154,'By Lot - West Campus'!K1170:K1171,'By Lot - West Campus'!K1187:K1188,'By Lot - West Campus'!K1204:K1205,'By Lot - West Campus'!K1221:K1222,'By Lot - West Campus'!K1238:K1239,'By Lot - West Campus'!K1272:K1273,'By Lot - West Campus'!K1426:K1427)</f>
        <v>0</v>
      </c>
      <c r="J182" s="161">
        <f>SUM('By Lot - West Campus'!L1102:L1103,'By Lot - West Campus'!L1153:L1154,'By Lot - West Campus'!L1170:L1171,'By Lot - West Campus'!L1187:L1188,'By Lot - West Campus'!L1204:L1205,'By Lot - West Campus'!L1221:L1222,'By Lot - West Campus'!L1238:L1239,'By Lot - West Campus'!L1272:L1273,'By Lot - West Campus'!L1426:L1427)</f>
        <v>0</v>
      </c>
      <c r="K182" s="161">
        <f>SUM('By Lot - West Campus'!M1102:M1103,'By Lot - West Campus'!M1153:M1154,'By Lot - West Campus'!M1170:M1171,'By Lot - West Campus'!M1187:M1188,'By Lot - West Campus'!M1204:M1205,'By Lot - West Campus'!M1221:M1222,'By Lot - West Campus'!M1238:M1239,'By Lot - West Campus'!M1272:M1273,'By Lot - West Campus'!M1426:M1427)</f>
        <v>0</v>
      </c>
      <c r="L182" s="161">
        <f>SUM('By Lot - West Campus'!N1102:N1103,'By Lot - West Campus'!N1153:N1154,'By Lot - West Campus'!N1170:N1171,'By Lot - West Campus'!N1187:N1188,'By Lot - West Campus'!N1204:N1205,'By Lot - West Campus'!N1221:N1222,'By Lot - West Campus'!N1238:N1239,'By Lot - West Campus'!N1272:N1273,'By Lot - West Campus'!N1426:N1427)</f>
        <v>0</v>
      </c>
      <c r="M182" s="162">
        <f>SUM('By Lot - West Campus'!O1102:O1103,'By Lot - West Campus'!O1153:O1154,'By Lot - West Campus'!O1170:O1171,'By Lot - West Campus'!O1187:O1188,'By Lot - West Campus'!O1204:O1205,'By Lot - West Campus'!O1221:O1222,'By Lot - West Campus'!O1238:O1239,'By Lot - West Campus'!O1272:O1273,'By Lot - West Campus'!O1426:O1427)</f>
        <v>0</v>
      </c>
      <c r="N182" s="160">
        <f t="shared" ref="N182:N189" si="61">MIN(D182:M182)</f>
        <v>0</v>
      </c>
      <c r="O182" s="161">
        <f t="shared" ref="O182:O189" si="62">C182-N182</f>
        <v>0</v>
      </c>
      <c r="P182" s="163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1.25" customHeight="1" x14ac:dyDescent="0.4">
      <c r="A183" s="17"/>
      <c r="B183" s="17" t="s">
        <v>308</v>
      </c>
      <c r="C183" s="17">
        <f>SUM('By Lot - West Campus'!E1104,'By Lot - West Campus'!E1155,'By Lot - West Campus'!E1172,'By Lot - West Campus'!E1189,'By Lot - West Campus'!E1206,'By Lot - West Campus'!E1223,'By Lot - West Campus'!E1240,'By Lot - West Campus'!E1274,'By Lot - West Campus'!E1428)</f>
        <v>74</v>
      </c>
      <c r="D183" s="32">
        <f>SUM('By Lot - West Campus'!F1104,'By Lot - West Campus'!F1155,'By Lot - West Campus'!F1172,'By Lot - West Campus'!F1189,'By Lot - West Campus'!F1206,'By Lot - West Campus'!F1223,'By Lot - West Campus'!F1240,'By Lot - West Campus'!F1274,'By Lot - West Campus'!F1428)</f>
        <v>58</v>
      </c>
      <c r="E183" s="6">
        <f>SUM('By Lot - West Campus'!G1104,'By Lot - West Campus'!G1155,'By Lot - West Campus'!G1172,'By Lot - West Campus'!G1189,'By Lot - West Campus'!G1206,'By Lot - West Campus'!G1223,'By Lot - West Campus'!G1240,'By Lot - West Campus'!G1274,'By Lot - West Campus'!G1428)</f>
        <v>48</v>
      </c>
      <c r="F183" s="6">
        <f>SUM('By Lot - West Campus'!H1104,'By Lot - West Campus'!H1155,'By Lot - West Campus'!H1172,'By Lot - West Campus'!H1189,'By Lot - West Campus'!H1206,'By Lot - West Campus'!H1223,'By Lot - West Campus'!H1240,'By Lot - West Campus'!H1274,'By Lot - West Campus'!H1428)</f>
        <v>40</v>
      </c>
      <c r="G183" s="6">
        <f>SUM('By Lot - West Campus'!I1104,'By Lot - West Campus'!I1155,'By Lot - West Campus'!I1172,'By Lot - West Campus'!I1189,'By Lot - West Campus'!I1206,'By Lot - West Campus'!I1223,'By Lot - West Campus'!I1240,'By Lot - West Campus'!I1274,'By Lot - West Campus'!I1428)</f>
        <v>42</v>
      </c>
      <c r="H183" s="6">
        <f>SUM('By Lot - West Campus'!J1104,'By Lot - West Campus'!J1155,'By Lot - West Campus'!J1172,'By Lot - West Campus'!J1189,'By Lot - West Campus'!J1206,'By Lot - West Campus'!J1223,'By Lot - West Campus'!J1240,'By Lot - West Campus'!J1274,'By Lot - West Campus'!J1428)</f>
        <v>42</v>
      </c>
      <c r="I183" s="6">
        <f>SUM('By Lot - West Campus'!K1104,'By Lot - West Campus'!K1155,'By Lot - West Campus'!K1172,'By Lot - West Campus'!K1189,'By Lot - West Campus'!K1206,'By Lot - West Campus'!K1223,'By Lot - West Campus'!K1240,'By Lot - West Campus'!K1274,'By Lot - West Campus'!K1428)</f>
        <v>39</v>
      </c>
      <c r="J183" s="6">
        <f>SUM('By Lot - West Campus'!L1104,'By Lot - West Campus'!L1155,'By Lot - West Campus'!L1172,'By Lot - West Campus'!L1189,'By Lot - West Campus'!L1206,'By Lot - West Campus'!L1223,'By Lot - West Campus'!L1240,'By Lot - West Campus'!L1274,'By Lot - West Campus'!L1428)</f>
        <v>37</v>
      </c>
      <c r="K183" s="6">
        <f>SUM('By Lot - West Campus'!M1104,'By Lot - West Campus'!M1155,'By Lot - West Campus'!M1172,'By Lot - West Campus'!M1189,'By Lot - West Campus'!M1206,'By Lot - West Campus'!M1223,'By Lot - West Campus'!M1240,'By Lot - West Campus'!M1274,'By Lot - West Campus'!M1428)</f>
        <v>40</v>
      </c>
      <c r="L183" s="6">
        <f>SUM('By Lot - West Campus'!N1104,'By Lot - West Campus'!N1155,'By Lot - West Campus'!N1172,'By Lot - West Campus'!N1189,'By Lot - West Campus'!N1206,'By Lot - West Campus'!N1223,'By Lot - West Campus'!N1240,'By Lot - West Campus'!N1274,'By Lot - West Campus'!N1428)</f>
        <v>41</v>
      </c>
      <c r="M183" s="31">
        <f>SUM('By Lot - West Campus'!O1104,'By Lot - West Campus'!O1155,'By Lot - West Campus'!O1172,'By Lot - West Campus'!O1189,'By Lot - West Campus'!O1206,'By Lot - West Campus'!O1223,'By Lot - West Campus'!O1240,'By Lot - West Campus'!O1274,'By Lot - West Campus'!O1428)</f>
        <v>43</v>
      </c>
      <c r="N183" s="32">
        <f t="shared" si="61"/>
        <v>37</v>
      </c>
      <c r="O183" s="6">
        <f t="shared" si="62"/>
        <v>37</v>
      </c>
      <c r="P183" s="59">
        <f t="shared" ref="P183:P189" si="63">O183/C183</f>
        <v>0.5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1.25" customHeight="1" x14ac:dyDescent="0.4">
      <c r="A184" s="17"/>
      <c r="B184" s="17" t="s">
        <v>309</v>
      </c>
      <c r="C184" s="17">
        <f>SUM('By Lot - West Campus'!E1105:E1110,'By Lot - West Campus'!E1156:E1161,'By Lot - West Campus'!E1173:E1178,
'By Lot - West Campus'!E1190:E1195,'By Lot - West Campus'!E1207:E1212,'By Lot - West Campus'!E1224:E1229,
'By Lot - West Campus'!E1241:E1246,'By Lot - West Campus'!E1275:E1280,
'By Lot - West Campus'!E1429:E1434)</f>
        <v>24</v>
      </c>
      <c r="D184" s="32">
        <f>SUM('By Lot - West Campus'!F1105:F1110,'By Lot - West Campus'!F1156:F1161,'By Lot - West Campus'!F1173:F1178,
'By Lot - West Campus'!F1190:F1195,'By Lot - West Campus'!F1207:F1212,'By Lot - West Campus'!F1224:F1229,
'By Lot - West Campus'!F1241:F1246,'By Lot - West Campus'!F1275:F1280,
'By Lot - West Campus'!F1429:F1434)</f>
        <v>17</v>
      </c>
      <c r="E184" s="6">
        <f>SUM('By Lot - West Campus'!G1105:G1110,'By Lot - West Campus'!G1156:G1161,'By Lot - West Campus'!G1173:G1178,
'By Lot - West Campus'!G1190:G1195,'By Lot - West Campus'!G1207:G1212,'By Lot - West Campus'!G1224:G1229,
'By Lot - West Campus'!G1241:G1246,'By Lot - West Campus'!G1275:G1280,
'By Lot - West Campus'!G1429:G1434)</f>
        <v>12</v>
      </c>
      <c r="F184" s="6">
        <f>SUM('By Lot - West Campus'!H1105:H1110,'By Lot - West Campus'!H1156:H1161,'By Lot - West Campus'!H1173:H1178,
'By Lot - West Campus'!H1190:H1195,'By Lot - West Campus'!H1207:H1212,'By Lot - West Campus'!H1224:H1229,
'By Lot - West Campus'!H1241:H1246,'By Lot - West Campus'!H1275:H1280,
'By Lot - West Campus'!H1429:H1434)</f>
        <v>10</v>
      </c>
      <c r="G184" s="6">
        <f>SUM('By Lot - West Campus'!I1105:I1110,'By Lot - West Campus'!I1156:I1161,'By Lot - West Campus'!I1173:I1178,
'By Lot - West Campus'!I1190:I1195,'By Lot - West Campus'!I1207:I1212,'By Lot - West Campus'!I1224:I1229,
'By Lot - West Campus'!I1241:I1246,'By Lot - West Campus'!I1275:I1280,
'By Lot - West Campus'!I1429:I1434)</f>
        <v>12</v>
      </c>
      <c r="H184" s="6">
        <f>SUM('By Lot - West Campus'!J1105:J1110,'By Lot - West Campus'!J1156:J1161,'By Lot - West Campus'!J1173:J1178,
'By Lot - West Campus'!J1190:J1195,'By Lot - West Campus'!J1207:J1212,'By Lot - West Campus'!J1224:J1229,
'By Lot - West Campus'!J1241:J1246,'By Lot - West Campus'!J1275:J1280,
'By Lot - West Campus'!J1429:J1434)</f>
        <v>12</v>
      </c>
      <c r="I184" s="6">
        <f>SUM('By Lot - West Campus'!K1105:K1110,'By Lot - West Campus'!K1156:K1161,'By Lot - West Campus'!K1173:K1178,
'By Lot - West Campus'!K1190:K1195,'By Lot - West Campus'!K1207:K1212,'By Lot - West Campus'!K1224:K1229,
'By Lot - West Campus'!K1241:K1246,'By Lot - West Campus'!K1275:K1280,
'By Lot - West Campus'!K1429:K1434)</f>
        <v>11</v>
      </c>
      <c r="J184" s="6">
        <f>SUM('By Lot - West Campus'!L1105:L1110,'By Lot - West Campus'!L1156:L1161,'By Lot - West Campus'!L1173:L1178,
'By Lot - West Campus'!L1190:L1195,'By Lot - West Campus'!L1207:L1212,'By Lot - West Campus'!L1224:L1229,
'By Lot - West Campus'!L1241:L1246,'By Lot - West Campus'!L1275:L1280,
'By Lot - West Campus'!L1429:L1434)</f>
        <v>11</v>
      </c>
      <c r="K184" s="6">
        <f>SUM('By Lot - West Campus'!M1105:M1110,'By Lot - West Campus'!M1156:M1161,'By Lot - West Campus'!M1173:M1178,
'By Lot - West Campus'!M1190:M1195,'By Lot - West Campus'!M1207:M1212,'By Lot - West Campus'!M1224:M1229,
'By Lot - West Campus'!M1241:M1246,'By Lot - West Campus'!M1275:M1280,
'By Lot - West Campus'!M1429:M1434)</f>
        <v>13</v>
      </c>
      <c r="L184" s="6">
        <f>SUM('By Lot - West Campus'!N1105:N1110,'By Lot - West Campus'!N1156:N1161,'By Lot - West Campus'!N1173:N1178,
'By Lot - West Campus'!N1190:N1195,'By Lot - West Campus'!N1207:N1212,'By Lot - West Campus'!N1224:N1229,
'By Lot - West Campus'!N1241:N1246,'By Lot - West Campus'!N1275:N1280,
'By Lot - West Campus'!N1429:N1434)</f>
        <v>14</v>
      </c>
      <c r="M184" s="31">
        <f>SUM('By Lot - West Campus'!O1105:O1110,'By Lot - West Campus'!O1156:O1161,'By Lot - West Campus'!O1173:O1178,
'By Lot - West Campus'!O1190:O1195,'By Lot - West Campus'!O1207:O1212,'By Lot - West Campus'!O1224:O1229,
'By Lot - West Campus'!O1241:O1246,'By Lot - West Campus'!O1275:O1280,
'By Lot - West Campus'!O1429:O1434)</f>
        <v>18</v>
      </c>
      <c r="N184" s="32">
        <f t="shared" si="61"/>
        <v>10</v>
      </c>
      <c r="O184" s="6">
        <f t="shared" si="62"/>
        <v>14</v>
      </c>
      <c r="P184" s="59">
        <f t="shared" si="63"/>
        <v>0.58333333333333337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1.25" customHeight="1" x14ac:dyDescent="0.4">
      <c r="A185" s="17"/>
      <c r="B185" s="17" t="s">
        <v>310</v>
      </c>
      <c r="C185" s="17">
        <f>SUM('By Lot - West Campus'!E1111,'By Lot - West Campus'!E1162,'By Lot - West Campus'!E1179,
'By Lot - West Campus'!E1196,'By Lot - West Campus'!E1213,'By Lot - West Campus'!E1230,
'By Lot - West Campus'!E1247,'By Lot - West Campus'!E1281,
'By Lot - West Campus'!E1435)</f>
        <v>26</v>
      </c>
      <c r="D185" s="32">
        <f>SUM('By Lot - West Campus'!F1111,'By Lot - West Campus'!F1162,'By Lot - West Campus'!F1179,
'By Lot - West Campus'!F1196,'By Lot - West Campus'!F1213,'By Lot - West Campus'!F1230,
'By Lot - West Campus'!F1247,'By Lot - West Campus'!F1281,
'By Lot - West Campus'!F1435)</f>
        <v>20</v>
      </c>
      <c r="E185" s="6">
        <f>SUM('By Lot - West Campus'!G1111,'By Lot - West Campus'!G1162,'By Lot - West Campus'!G1179,
'By Lot - West Campus'!G1196,'By Lot - West Campus'!G1213,'By Lot - West Campus'!G1230,
'By Lot - West Campus'!G1247,'By Lot - West Campus'!G1281,
'By Lot - West Campus'!G1435)</f>
        <v>16</v>
      </c>
      <c r="F185" s="6">
        <f>SUM('By Lot - West Campus'!H1111,'By Lot - West Campus'!H1162,'By Lot - West Campus'!H1179,
'By Lot - West Campus'!H1196,'By Lot - West Campus'!H1213,'By Lot - West Campus'!H1230,
'By Lot - West Campus'!H1247,'By Lot - West Campus'!H1281,
'By Lot - West Campus'!H1435)</f>
        <v>10</v>
      </c>
      <c r="G185" s="6">
        <f>SUM('By Lot - West Campus'!I1111,'By Lot - West Campus'!I1162,'By Lot - West Campus'!I1179,
'By Lot - West Campus'!I1196,'By Lot - West Campus'!I1213,'By Lot - West Campus'!I1230,
'By Lot - West Campus'!I1247,'By Lot - West Campus'!I1281,
'By Lot - West Campus'!I1435)</f>
        <v>11</v>
      </c>
      <c r="H185" s="6">
        <f>SUM('By Lot - West Campus'!J1111,'By Lot - West Campus'!J1162,'By Lot - West Campus'!J1179,
'By Lot - West Campus'!J1196,'By Lot - West Campus'!J1213,'By Lot - West Campus'!J1230,
'By Lot - West Campus'!J1247,'By Lot - West Campus'!J1281,
'By Lot - West Campus'!J1435)</f>
        <v>14</v>
      </c>
      <c r="I185" s="6">
        <f>SUM('By Lot - West Campus'!K1111,'By Lot - West Campus'!K1162,'By Lot - West Campus'!K1179,
'By Lot - West Campus'!K1196,'By Lot - West Campus'!K1213,'By Lot - West Campus'!K1230,
'By Lot - West Campus'!K1247,'By Lot - West Campus'!K1281,
'By Lot - West Campus'!K1435)</f>
        <v>14</v>
      </c>
      <c r="J185" s="6">
        <f>SUM('By Lot - West Campus'!L1111,'By Lot - West Campus'!L1162,'By Lot - West Campus'!L1179,
'By Lot - West Campus'!L1196,'By Lot - West Campus'!L1213,'By Lot - West Campus'!L1230,
'By Lot - West Campus'!L1247,'By Lot - West Campus'!L1281,
'By Lot - West Campus'!L1435)</f>
        <v>11</v>
      </c>
      <c r="K185" s="6">
        <f>SUM('By Lot - West Campus'!M1111,'By Lot - West Campus'!M1162,'By Lot - West Campus'!M1179,
'By Lot - West Campus'!M1196,'By Lot - West Campus'!M1213,'By Lot - West Campus'!M1230,
'By Lot - West Campus'!M1247,'By Lot - West Campus'!M1281,
'By Lot - West Campus'!M1435)</f>
        <v>14</v>
      </c>
      <c r="L185" s="6">
        <f>SUM('By Lot - West Campus'!N1111,'By Lot - West Campus'!N1162,'By Lot - West Campus'!N1179,
'By Lot - West Campus'!N1196,'By Lot - West Campus'!N1213,'By Lot - West Campus'!N1230,
'By Lot - West Campus'!N1247,'By Lot - West Campus'!N1281,
'By Lot - West Campus'!N1435)</f>
        <v>15</v>
      </c>
      <c r="M185" s="31">
        <f>SUM('By Lot - West Campus'!O1111,'By Lot - West Campus'!O1162,'By Lot - West Campus'!O1179,
'By Lot - West Campus'!O1196,'By Lot - West Campus'!O1213,'By Lot - West Campus'!O1230,
'By Lot - West Campus'!O1247,'By Lot - West Campus'!O1281,
'By Lot - West Campus'!O1435)</f>
        <v>18</v>
      </c>
      <c r="N185" s="32">
        <f t="shared" si="61"/>
        <v>10</v>
      </c>
      <c r="O185" s="6">
        <f t="shared" si="62"/>
        <v>16</v>
      </c>
      <c r="P185" s="59">
        <f t="shared" si="63"/>
        <v>0.61538461538461542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1.25" customHeight="1" x14ac:dyDescent="0.4">
      <c r="A186" s="17"/>
      <c r="B186" s="17" t="s">
        <v>311</v>
      </c>
      <c r="C186" s="130">
        <f>SUM('By Lot - West Campus'!E1112,'By Lot - West Campus'!E1163,'By Lot - West Campus'!E1180,
'By Lot - West Campus'!E1197,'By Lot - West Campus'!E1214,'By Lot - West Campus'!E1231,
'By Lot - West Campus'!E1248,'By Lot - West Campus'!E1282,'By Lot - West Campus'!E1299,
'By Lot - West Campus'!E1436)</f>
        <v>2</v>
      </c>
      <c r="D186" s="97">
        <f>SUM('By Lot - West Campus'!F1112,'By Lot - West Campus'!F1163,'By Lot - West Campus'!F1180,'By Lot - West Campus'!F1197,'By Lot - West Campus'!F1214,'By Lot - West Campus'!F1231,'By Lot - West Campus'!F1248,'By Lot - West Campus'!F1282,'By Lot - West Campus'!F1299,'By Lot - West Campus'!F1436)</f>
        <v>2</v>
      </c>
      <c r="E186" s="98">
        <f>SUM('By Lot - West Campus'!G1112,'By Lot - West Campus'!G1163,'By Lot - West Campus'!G1180,'By Lot - West Campus'!G1197,'By Lot - West Campus'!G1214,'By Lot - West Campus'!G1231,'By Lot - West Campus'!G1248,'By Lot - West Campus'!G1282,'By Lot - West Campus'!G1299,'By Lot - West Campus'!G1436)</f>
        <v>2</v>
      </c>
      <c r="F186" s="98">
        <f>SUM('By Lot - West Campus'!H1112,'By Lot - West Campus'!H1163,'By Lot - West Campus'!H1180,'By Lot - West Campus'!H1197,'By Lot - West Campus'!H1214,'By Lot - West Campus'!H1231,'By Lot - West Campus'!H1248,'By Lot - West Campus'!H1282,'By Lot - West Campus'!H1299,'By Lot - West Campus'!H1436)</f>
        <v>1</v>
      </c>
      <c r="G186" s="98">
        <f>SUM('By Lot - West Campus'!I1112,'By Lot - West Campus'!I1163,'By Lot - West Campus'!I1180,'By Lot - West Campus'!I1197,'By Lot - West Campus'!I1214,'By Lot - West Campus'!I1231,'By Lot - West Campus'!I1248,'By Lot - West Campus'!I1282,'By Lot - West Campus'!I1299,'By Lot - West Campus'!I1436)</f>
        <v>2</v>
      </c>
      <c r="H186" s="98">
        <f>SUM('By Lot - West Campus'!J1112,'By Lot - West Campus'!J1163,'By Lot - West Campus'!J1180,'By Lot - West Campus'!J1197,'By Lot - West Campus'!J1214,'By Lot - West Campus'!J1231,'By Lot - West Campus'!J1248,'By Lot - West Campus'!J1282,'By Lot - West Campus'!J1299,'By Lot - West Campus'!J1436)</f>
        <v>2</v>
      </c>
      <c r="I186" s="98">
        <f>SUM('By Lot - West Campus'!K1112,'By Lot - West Campus'!K1163,'By Lot - West Campus'!K1180,'By Lot - West Campus'!K1197,'By Lot - West Campus'!K1214,'By Lot - West Campus'!K1231,'By Lot - West Campus'!K1248,'By Lot - West Campus'!K1282,'By Lot - West Campus'!K1299,'By Lot - West Campus'!K1436)</f>
        <v>1</v>
      </c>
      <c r="J186" s="98">
        <f>SUM('By Lot - West Campus'!L1112,'By Lot - West Campus'!L1163,'By Lot - West Campus'!L1180,'By Lot - West Campus'!L1197,'By Lot - West Campus'!L1214,'By Lot - West Campus'!L1231,'By Lot - West Campus'!L1248,'By Lot - West Campus'!L1282,'By Lot - West Campus'!L1299,'By Lot - West Campus'!L1436)</f>
        <v>0</v>
      </c>
      <c r="K186" s="98">
        <f>SUM('By Lot - West Campus'!M1112,'By Lot - West Campus'!M1163,'By Lot - West Campus'!M1180,'By Lot - West Campus'!M1197,'By Lot - West Campus'!M1214,'By Lot - West Campus'!M1231,'By Lot - West Campus'!M1248,'By Lot - West Campus'!M1282,'By Lot - West Campus'!M1299,'By Lot - West Campus'!M1436)</f>
        <v>0</v>
      </c>
      <c r="L186" s="98">
        <f>SUM('By Lot - West Campus'!N1112,'By Lot - West Campus'!N1163,'By Lot - West Campus'!N1180,'By Lot - West Campus'!N1197,'By Lot - West Campus'!N1214,'By Lot - West Campus'!N1231,'By Lot - West Campus'!N1248,'By Lot - West Campus'!N1282,'By Lot - West Campus'!N1299,'By Lot - West Campus'!N1436)</f>
        <v>0</v>
      </c>
      <c r="M186" s="99">
        <f>SUM('By Lot - West Campus'!O1112,'By Lot - West Campus'!O1163,'By Lot - West Campus'!O1180,'By Lot - West Campus'!O1197,'By Lot - West Campus'!O1214,'By Lot - West Campus'!O1231,'By Lot - West Campus'!O1248,'By Lot - West Campus'!O1282,'By Lot - West Campus'!O1299,'By Lot - West Campus'!O1436)</f>
        <v>0</v>
      </c>
      <c r="N186" s="97">
        <f t="shared" si="61"/>
        <v>0</v>
      </c>
      <c r="O186" s="98">
        <f t="shared" si="62"/>
        <v>2</v>
      </c>
      <c r="P186" s="132">
        <f t="shared" si="63"/>
        <v>1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1.25" customHeight="1" x14ac:dyDescent="0.4">
      <c r="A187" s="17"/>
      <c r="B187" s="17" t="s">
        <v>312</v>
      </c>
      <c r="C187" s="17">
        <f>SUM('By Lot - West Campus'!E1113,'By Lot - West Campus'!E1164,'By Lot - West Campus'!E1181,
'By Lot - West Campus'!E1198,'By Lot - West Campus'!E1215,'By Lot - West Campus'!E1232,
'By Lot - West Campus'!E1249,'By Lot - West Campus'!E1283,'By Lot - West Campus'!E1300,
'By Lot - West Campus'!E1437)</f>
        <v>10</v>
      </c>
      <c r="D187" s="32">
        <f>SUM('By Lot - West Campus'!F1113,'By Lot - West Campus'!F1164,'By Lot - West Campus'!F1181,'By Lot - West Campus'!F1198,'By Lot - West Campus'!F1215,'By Lot - West Campus'!F1232,'By Lot - West Campus'!F1249,'By Lot - West Campus'!F1283,'By Lot - West Campus'!F1300,'By Lot - West Campus'!F1437)</f>
        <v>6</v>
      </c>
      <c r="E187" s="6">
        <f>SUM('By Lot - West Campus'!G1113,'By Lot - West Campus'!G1164,'By Lot - West Campus'!G1181,'By Lot - West Campus'!G1198,'By Lot - West Campus'!G1215,'By Lot - West Campus'!G1232,'By Lot - West Campus'!G1249,'By Lot - West Campus'!G1283,'By Lot - West Campus'!G1300,'By Lot - West Campus'!G1437)</f>
        <v>7</v>
      </c>
      <c r="F187" s="6">
        <f>SUM('By Lot - West Campus'!H1113,'By Lot - West Campus'!H1164,'By Lot - West Campus'!H1181,'By Lot - West Campus'!H1198,'By Lot - West Campus'!H1215,'By Lot - West Campus'!H1232,'By Lot - West Campus'!H1249,'By Lot - West Campus'!H1283,'By Lot - West Campus'!H1300,'By Lot - West Campus'!H1437)</f>
        <v>3</v>
      </c>
      <c r="G187" s="6">
        <f>SUM('By Lot - West Campus'!I1113,'By Lot - West Campus'!I1164,'By Lot - West Campus'!I1181,'By Lot - West Campus'!I1198,'By Lot - West Campus'!I1215,'By Lot - West Campus'!I1232,'By Lot - West Campus'!I1249,'By Lot - West Campus'!I1283,'By Lot - West Campus'!I1300,'By Lot - West Campus'!I1437)</f>
        <v>2</v>
      </c>
      <c r="H187" s="6">
        <f>SUM('By Lot - West Campus'!J1113,'By Lot - West Campus'!J1164,'By Lot - West Campus'!J1181,'By Lot - West Campus'!J1198,'By Lot - West Campus'!J1215,'By Lot - West Campus'!J1232,'By Lot - West Campus'!J1249,'By Lot - West Campus'!J1283,'By Lot - West Campus'!J1300,'By Lot - West Campus'!J1437)</f>
        <v>3</v>
      </c>
      <c r="I187" s="6">
        <f>SUM('By Lot - West Campus'!K1113,'By Lot - West Campus'!K1164,'By Lot - West Campus'!K1181,'By Lot - West Campus'!K1198,'By Lot - West Campus'!K1215,'By Lot - West Campus'!K1232,'By Lot - West Campus'!K1249,'By Lot - West Campus'!K1283,'By Lot - West Campus'!K1300,'By Lot - West Campus'!K1437)</f>
        <v>4</v>
      </c>
      <c r="J187" s="6">
        <f>SUM('By Lot - West Campus'!L1113,'By Lot - West Campus'!L1164,'By Lot - West Campus'!L1181,'By Lot - West Campus'!L1198,'By Lot - West Campus'!L1215,'By Lot - West Campus'!L1232,'By Lot - West Campus'!L1249,'By Lot - West Campus'!L1283,'By Lot - West Campus'!L1300,'By Lot - West Campus'!L1437)</f>
        <v>4</v>
      </c>
      <c r="K187" s="6">
        <f>SUM('By Lot - West Campus'!M1113,'By Lot - West Campus'!M1164,'By Lot - West Campus'!M1181,'By Lot - West Campus'!M1198,'By Lot - West Campus'!M1215,'By Lot - West Campus'!M1232,'By Lot - West Campus'!M1249,'By Lot - West Campus'!M1283,'By Lot - West Campus'!M1300,'By Lot - West Campus'!M1437)</f>
        <v>4</v>
      </c>
      <c r="L187" s="6">
        <f>SUM('By Lot - West Campus'!N1113,'By Lot - West Campus'!N1164,'By Lot - West Campus'!N1181,'By Lot - West Campus'!N1198,'By Lot - West Campus'!N1215,'By Lot - West Campus'!N1232,'By Lot - West Campus'!N1249,'By Lot - West Campus'!N1283,'By Lot - West Campus'!N1300,'By Lot - West Campus'!N1437)</f>
        <v>3</v>
      </c>
      <c r="M187" s="31">
        <f>SUM('By Lot - West Campus'!O1113,'By Lot - West Campus'!O1164,'By Lot - West Campus'!O1181,'By Lot - West Campus'!O1198,'By Lot - West Campus'!O1215,'By Lot - West Campus'!O1232,'By Lot - West Campus'!O1249,'By Lot - West Campus'!O1283,'By Lot - West Campus'!O1300,'By Lot - West Campus'!O1437)</f>
        <v>6</v>
      </c>
      <c r="N187" s="32">
        <f t="shared" si="61"/>
        <v>2</v>
      </c>
      <c r="O187" s="6">
        <f t="shared" si="62"/>
        <v>8</v>
      </c>
      <c r="P187" s="59">
        <f t="shared" si="63"/>
        <v>0.8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1.25" customHeight="1" x14ac:dyDescent="0.4">
      <c r="A188" s="17"/>
      <c r="B188" s="17" t="s">
        <v>313</v>
      </c>
      <c r="C188" s="17">
        <f>SUM('By Lot - West Campus'!E1114,'By Lot - West Campus'!E1165,'By Lot - West Campus'!E1182,
'By Lot - West Campus'!E1199,'By Lot - West Campus'!E1216,'By Lot - West Campus'!E1233,
'By Lot - West Campus'!E1250,'By Lot - West Campus'!E1284,'By Lot - West Campus'!E1301,
'By Lot - West Campus'!E1438)</f>
        <v>4</v>
      </c>
      <c r="D188" s="32">
        <f>SUM('By Lot - West Campus'!F1114,'By Lot - West Campus'!F1165,'By Lot - West Campus'!F1182,'By Lot - West Campus'!F1199,'By Lot - West Campus'!F1216,'By Lot - West Campus'!F1233,'By Lot - West Campus'!F1250,'By Lot - West Campus'!F1284,'By Lot - West Campus'!F1301,'By Lot - West Campus'!F1438)</f>
        <v>2</v>
      </c>
      <c r="E188" s="6">
        <f>SUM('By Lot - West Campus'!G1114,'By Lot - West Campus'!G1165,'By Lot - West Campus'!G1182,'By Lot - West Campus'!G1199,'By Lot - West Campus'!G1216,'By Lot - West Campus'!G1233,'By Lot - West Campus'!G1250,'By Lot - West Campus'!G1284,'By Lot - West Campus'!G1301,'By Lot - West Campus'!G1438)</f>
        <v>5</v>
      </c>
      <c r="F188" s="6">
        <f>SUM('By Lot - West Campus'!H1114,'By Lot - West Campus'!H1165,'By Lot - West Campus'!H1182,'By Lot - West Campus'!H1199,'By Lot - West Campus'!H1216,'By Lot - West Campus'!H1233,'By Lot - West Campus'!H1250,'By Lot - West Campus'!H1284,'By Lot - West Campus'!H1301,'By Lot - West Campus'!H1438)</f>
        <v>3</v>
      </c>
      <c r="G188" s="6">
        <f>SUM('By Lot - West Campus'!I1114,'By Lot - West Campus'!I1165,'By Lot - West Campus'!I1182,'By Lot - West Campus'!I1199,'By Lot - West Campus'!I1216,'By Lot - West Campus'!I1233,'By Lot - West Campus'!I1250,'By Lot - West Campus'!I1284,'By Lot - West Campus'!I1301,'By Lot - West Campus'!I1438)</f>
        <v>4</v>
      </c>
      <c r="H188" s="6">
        <f>SUM('By Lot - West Campus'!J1114,'By Lot - West Campus'!J1165,'By Lot - West Campus'!J1182,'By Lot - West Campus'!J1199,'By Lot - West Campus'!J1216,'By Lot - West Campus'!J1233,'By Lot - West Campus'!J1250,'By Lot - West Campus'!J1284,'By Lot - West Campus'!J1301,'By Lot - West Campus'!J1438)</f>
        <v>4</v>
      </c>
      <c r="I188" s="6">
        <f>SUM('By Lot - West Campus'!K1114,'By Lot - West Campus'!K1165,'By Lot - West Campus'!K1182,'By Lot - West Campus'!K1199,'By Lot - West Campus'!K1216,'By Lot - West Campus'!K1233,'By Lot - West Campus'!K1250,'By Lot - West Campus'!K1284,'By Lot - West Campus'!K1301,'By Lot - West Campus'!K1438)</f>
        <v>4</v>
      </c>
      <c r="J188" s="6">
        <f>SUM('By Lot - West Campus'!L1114,'By Lot - West Campus'!L1165,'By Lot - West Campus'!L1182,'By Lot - West Campus'!L1199,'By Lot - West Campus'!L1216,'By Lot - West Campus'!L1233,'By Lot - West Campus'!L1250,'By Lot - West Campus'!L1284,'By Lot - West Campus'!L1301,'By Lot - West Campus'!L1438)</f>
        <v>4</v>
      </c>
      <c r="K188" s="6">
        <f>SUM('By Lot - West Campus'!M1114,'By Lot - West Campus'!M1165,'By Lot - West Campus'!M1182,'By Lot - West Campus'!M1199,'By Lot - West Campus'!M1216,'By Lot - West Campus'!M1233,'By Lot - West Campus'!M1250,'By Lot - West Campus'!M1284,'By Lot - West Campus'!M1301,'By Lot - West Campus'!M1438)</f>
        <v>3</v>
      </c>
      <c r="L188" s="6">
        <f>SUM('By Lot - West Campus'!N1114,'By Lot - West Campus'!N1165,'By Lot - West Campus'!N1182,'By Lot - West Campus'!N1199,'By Lot - West Campus'!N1216,'By Lot - West Campus'!N1233,'By Lot - West Campus'!N1250,'By Lot - West Campus'!N1284,'By Lot - West Campus'!N1301,'By Lot - West Campus'!N1438)</f>
        <v>4</v>
      </c>
      <c r="M188" s="31">
        <f>SUM('By Lot - West Campus'!O1114,'By Lot - West Campus'!O1165,'By Lot - West Campus'!O1182,'By Lot - West Campus'!O1199,'By Lot - West Campus'!O1216,'By Lot - West Campus'!O1233,'By Lot - West Campus'!O1250,'By Lot - West Campus'!O1284,'By Lot - West Campus'!O1301,'By Lot - West Campus'!O1438)</f>
        <v>4</v>
      </c>
      <c r="N188" s="32">
        <f t="shared" si="61"/>
        <v>2</v>
      </c>
      <c r="O188" s="6">
        <f t="shared" si="62"/>
        <v>2</v>
      </c>
      <c r="P188" s="59">
        <f t="shared" si="63"/>
        <v>0.5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1.25" customHeight="1" x14ac:dyDescent="0.4">
      <c r="A189" s="34"/>
      <c r="B189" s="65" t="s">
        <v>314</v>
      </c>
      <c r="C189" s="65">
        <f t="shared" ref="C189:M189" si="64">SUM(C179:C188)</f>
        <v>140</v>
      </c>
      <c r="D189" s="104">
        <f t="shared" si="64"/>
        <v>105</v>
      </c>
      <c r="E189" s="128">
        <f t="shared" si="64"/>
        <v>90</v>
      </c>
      <c r="F189" s="128">
        <f t="shared" si="64"/>
        <v>67</v>
      </c>
      <c r="G189" s="128">
        <f t="shared" si="64"/>
        <v>73</v>
      </c>
      <c r="H189" s="128">
        <f t="shared" si="64"/>
        <v>77</v>
      </c>
      <c r="I189" s="128">
        <f t="shared" si="64"/>
        <v>73</v>
      </c>
      <c r="J189" s="128">
        <f t="shared" si="64"/>
        <v>67</v>
      </c>
      <c r="K189" s="128">
        <f t="shared" si="64"/>
        <v>74</v>
      </c>
      <c r="L189" s="128">
        <f t="shared" si="64"/>
        <v>77</v>
      </c>
      <c r="M189" s="129">
        <f t="shared" si="64"/>
        <v>89</v>
      </c>
      <c r="N189" s="104">
        <f t="shared" si="61"/>
        <v>67</v>
      </c>
      <c r="O189" s="128">
        <f t="shared" si="62"/>
        <v>73</v>
      </c>
      <c r="P189" s="72">
        <f t="shared" si="63"/>
        <v>0.52142857142857146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1.25" customHeight="1" x14ac:dyDescent="0.4">
      <c r="A190" s="15" t="s">
        <v>9</v>
      </c>
      <c r="B190" s="17" t="s">
        <v>300</v>
      </c>
      <c r="C190" s="17"/>
      <c r="D190" s="32"/>
      <c r="E190" s="6"/>
      <c r="F190" s="6"/>
      <c r="G190" s="6"/>
      <c r="H190" s="6"/>
      <c r="I190" s="6"/>
      <c r="J190" s="6"/>
      <c r="K190" s="6"/>
      <c r="L190" s="6"/>
      <c r="M190" s="31"/>
      <c r="N190" s="32"/>
      <c r="O190" s="6"/>
      <c r="P190" s="59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1.25" customHeight="1" x14ac:dyDescent="0.4">
      <c r="A191" s="17" t="s">
        <v>4</v>
      </c>
      <c r="B191" s="17" t="s">
        <v>301</v>
      </c>
      <c r="C191" s="159">
        <f>SUM('By Lot - East Campus'!E9,'By Lot - East Campus'!E26,'By Lot - East Campus'!E44,'By Lot - East Campus'!E61,'By Lot - East Campus'!E78)</f>
        <v>0</v>
      </c>
      <c r="D191" s="160">
        <f>SUM('By Lot - East Campus'!F9,'By Lot - East Campus'!F26,'By Lot - East Campus'!F44,'By Lot - East Campus'!F61,'By Lot - East Campus'!F78)</f>
        <v>0</v>
      </c>
      <c r="E191" s="161">
        <f>SUM('By Lot - East Campus'!G9,'By Lot - East Campus'!G26,'By Lot - East Campus'!G44,'By Lot - East Campus'!G61,'By Lot - East Campus'!G78)</f>
        <v>0</v>
      </c>
      <c r="F191" s="161">
        <f>SUM('By Lot - East Campus'!H9,'By Lot - East Campus'!H26,'By Lot - East Campus'!H44,'By Lot - East Campus'!H61,'By Lot - East Campus'!H78)</f>
        <v>0</v>
      </c>
      <c r="G191" s="161">
        <f>SUM('By Lot - East Campus'!I9,'By Lot - East Campus'!I26,'By Lot - East Campus'!I44,'By Lot - East Campus'!I61,'By Lot - East Campus'!I78)</f>
        <v>0</v>
      </c>
      <c r="H191" s="161">
        <f>SUM('By Lot - East Campus'!J9,'By Lot - East Campus'!J26,'By Lot - East Campus'!J44,'By Lot - East Campus'!J61,'By Lot - East Campus'!J78)</f>
        <v>0</v>
      </c>
      <c r="I191" s="161">
        <f>SUM('By Lot - East Campus'!K9,'By Lot - East Campus'!K26,'By Lot - East Campus'!K44,'By Lot - East Campus'!K61,'By Lot - East Campus'!K78)</f>
        <v>0</v>
      </c>
      <c r="J191" s="161">
        <f>SUM('By Lot - East Campus'!L9,'By Lot - East Campus'!L26,'By Lot - East Campus'!L44,'By Lot - East Campus'!L61,'By Lot - East Campus'!L78)</f>
        <v>0</v>
      </c>
      <c r="K191" s="161">
        <f>SUM('By Lot - East Campus'!M9,'By Lot - East Campus'!M26,'By Lot - East Campus'!M44,'By Lot - East Campus'!M61,'By Lot - East Campus'!M78)</f>
        <v>0</v>
      </c>
      <c r="L191" s="161">
        <f>SUM('By Lot - East Campus'!N9,'By Lot - East Campus'!N26,'By Lot - East Campus'!N44,'By Lot - East Campus'!N61,'By Lot - East Campus'!N78)</f>
        <v>0</v>
      </c>
      <c r="M191" s="162">
        <f>SUM('By Lot - East Campus'!O9,'By Lot - East Campus'!O26,'By Lot - East Campus'!O44,'By Lot - East Campus'!O61,'By Lot - East Campus'!O78)</f>
        <v>0</v>
      </c>
      <c r="N191" s="160">
        <f t="shared" ref="N191:N202" si="65">MIN(D191:M191)</f>
        <v>0</v>
      </c>
      <c r="O191" s="161">
        <f t="shared" ref="O191:O202" si="66">C191-N191</f>
        <v>0</v>
      </c>
      <c r="P191" s="59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1.25" customHeight="1" x14ac:dyDescent="0.4">
      <c r="A192" s="17" t="s">
        <v>43</v>
      </c>
      <c r="B192" s="17" t="s">
        <v>306</v>
      </c>
      <c r="C192" s="17">
        <f>SUM('By Lot - East Campus'!E27,'By Lot - East Campus'!E45,'By Lot - East Campus'!E62)</f>
        <v>1380</v>
      </c>
      <c r="D192" s="32">
        <f>SUM('By Lot - East Campus'!F27,'By Lot - East Campus'!F45,'By Lot - East Campus'!F62)</f>
        <v>1195</v>
      </c>
      <c r="E192" s="6">
        <f>SUM('By Lot - East Campus'!G27,'By Lot - East Campus'!G45,'By Lot - East Campus'!G62)</f>
        <v>949</v>
      </c>
      <c r="F192" s="6">
        <f>SUM('By Lot - East Campus'!H27,'By Lot - East Campus'!H45,'By Lot - East Campus'!H62)</f>
        <v>670</v>
      </c>
      <c r="G192" s="6">
        <f>SUM('By Lot - East Campus'!I27,'By Lot - East Campus'!I45,'By Lot - East Campus'!I62)</f>
        <v>672</v>
      </c>
      <c r="H192" s="6">
        <f>SUM('By Lot - East Campus'!J27,'By Lot - East Campus'!J45,'By Lot - East Campus'!J62)</f>
        <v>682</v>
      </c>
      <c r="I192" s="58">
        <f>SUM('By Lot - East Campus'!K27,'By Lot - East Campus'!K45,'By Lot - East Campus'!K62)</f>
        <v>650</v>
      </c>
      <c r="J192" s="58">
        <f>SUM('By Lot - East Campus'!L27,'By Lot - East Campus'!L45,'By Lot - East Campus'!L62)</f>
        <v>656</v>
      </c>
      <c r="K192" s="58">
        <f>SUM('By Lot - East Campus'!M27,'By Lot - East Campus'!M45,'By Lot - East Campus'!M62)</f>
        <v>665</v>
      </c>
      <c r="L192" s="58">
        <f>SUM('By Lot - East Campus'!N27,'By Lot - East Campus'!N45,'By Lot - East Campus'!N62)</f>
        <v>767</v>
      </c>
      <c r="M192" s="60">
        <f>SUM('By Lot - East Campus'!O27,'By Lot - East Campus'!O45,'By Lot - East Campus'!O62)</f>
        <v>828</v>
      </c>
      <c r="N192" s="32">
        <f t="shared" si="65"/>
        <v>650</v>
      </c>
      <c r="O192" s="6">
        <f t="shared" si="66"/>
        <v>730</v>
      </c>
      <c r="P192" s="59">
        <f t="shared" ref="P192:P197" si="67">O192/C192</f>
        <v>0.52898550724637683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1.25" customHeight="1" x14ac:dyDescent="0.4">
      <c r="A193" s="17"/>
      <c r="B193" s="17" t="s">
        <v>303</v>
      </c>
      <c r="C193" s="17">
        <f>SUM('By Lot - East Campus'!E10,'By Lot - East Campus'!E28,'By Lot - East Campus'!E79)</f>
        <v>385</v>
      </c>
      <c r="D193" s="32">
        <f>SUM('By Lot - East Campus'!F10,'By Lot - East Campus'!F28,'By Lot - East Campus'!F79)</f>
        <v>218</v>
      </c>
      <c r="E193" s="6">
        <f>SUM('By Lot - East Campus'!G10,'By Lot - East Campus'!G28,'By Lot - East Campus'!G79)</f>
        <v>205</v>
      </c>
      <c r="F193" s="6">
        <f>SUM('By Lot - East Campus'!H10,'By Lot - East Campus'!H28,'By Lot - East Campus'!H79)</f>
        <v>260</v>
      </c>
      <c r="G193" s="6">
        <f>SUM('By Lot - East Campus'!I10,'By Lot - East Campus'!I28,'By Lot - East Campus'!I79)</f>
        <v>151</v>
      </c>
      <c r="H193" s="6">
        <f>SUM('By Lot - East Campus'!J10,'By Lot - East Campus'!J27,'By Lot - East Campus'!J79)</f>
        <v>161</v>
      </c>
      <c r="I193" s="6">
        <f>SUM('By Lot - East Campus'!K10,'By Lot - East Campus'!K28,'By Lot - East Campus'!K79)</f>
        <v>145</v>
      </c>
      <c r="J193" s="6">
        <f>SUM('By Lot - East Campus'!L10,'By Lot - East Campus'!L28,'By Lot - East Campus'!L79)</f>
        <v>144</v>
      </c>
      <c r="K193" s="6">
        <f>SUM('By Lot - East Campus'!M10,'By Lot - East Campus'!M28,'By Lot - East Campus'!M79)</f>
        <v>143</v>
      </c>
      <c r="L193" s="6">
        <f>SUM('By Lot - East Campus'!N10,'By Lot - East Campus'!N28,'By Lot - East Campus'!N79)</f>
        <v>170</v>
      </c>
      <c r="M193" s="31">
        <f>SUM('By Lot - East Campus'!O10,'By Lot - East Campus'!O28,'By Lot - East Campus'!O79)</f>
        <v>245</v>
      </c>
      <c r="N193" s="32">
        <f t="shared" si="65"/>
        <v>143</v>
      </c>
      <c r="O193" s="6">
        <f t="shared" si="66"/>
        <v>242</v>
      </c>
      <c r="P193" s="59">
        <f t="shared" si="67"/>
        <v>0.62857142857142856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1.25" customHeight="1" x14ac:dyDescent="0.4">
      <c r="A194" s="17"/>
      <c r="B194" s="17" t="s">
        <v>308</v>
      </c>
      <c r="C194" s="17">
        <f>SUM('By Lot - East Campus'!E13,'By Lot - East Campus'!E31,'By Lot - East Campus'!E48,'By Lot - East Campus'!E65,'By Lot - East Campus'!E82)</f>
        <v>8</v>
      </c>
      <c r="D194" s="32">
        <f>SUM('By Lot - East Campus'!F13,'By Lot - East Campus'!F31,'By Lot - East Campus'!F48,'By Lot - East Campus'!F65,'By Lot - East Campus'!F82)</f>
        <v>2</v>
      </c>
      <c r="E194" s="6">
        <f>SUM('By Lot - East Campus'!G13,'By Lot - East Campus'!G31,'By Lot - East Campus'!G48,'By Lot - East Campus'!G65,'By Lot - East Campus'!G82)</f>
        <v>5</v>
      </c>
      <c r="F194" s="6">
        <f>SUM('By Lot - East Campus'!H13,'By Lot - East Campus'!H31,'By Lot - East Campus'!H48,'By Lot - East Campus'!H65,'By Lot - East Campus'!H82)</f>
        <v>5</v>
      </c>
      <c r="G194" s="6">
        <f>SUM('By Lot - East Campus'!I13,'By Lot - East Campus'!I31,'By Lot - East Campus'!I48,'By Lot - East Campus'!I65,'By Lot - East Campus'!I82)</f>
        <v>4</v>
      </c>
      <c r="H194" s="6">
        <f>SUM('By Lot - East Campus'!J13,'By Lot - East Campus'!J31,'By Lot - East Campus'!J48,'By Lot - East Campus'!J65,'By Lot - East Campus'!J82)</f>
        <v>5</v>
      </c>
      <c r="I194" s="6">
        <f>SUM('By Lot - East Campus'!K13,'By Lot - East Campus'!K31,'By Lot - East Campus'!K48,'By Lot - East Campus'!K65,'By Lot - East Campus'!K82)</f>
        <v>5</v>
      </c>
      <c r="J194" s="6">
        <f>SUM('By Lot - East Campus'!L13,'By Lot - East Campus'!L31,'By Lot - East Campus'!L48,'By Lot - East Campus'!L65,'By Lot - East Campus'!L82)</f>
        <v>4</v>
      </c>
      <c r="K194" s="6">
        <f>SUM('By Lot - East Campus'!M13,'By Lot - East Campus'!M31,'By Lot - East Campus'!M48,'By Lot - East Campus'!M65,'By Lot - East Campus'!M82)</f>
        <v>3</v>
      </c>
      <c r="L194" s="6">
        <f>SUM('By Lot - East Campus'!N13,'By Lot - East Campus'!N31,'By Lot - East Campus'!N48,'By Lot - East Campus'!N65,'By Lot - East Campus'!N82)</f>
        <v>3</v>
      </c>
      <c r="M194" s="31">
        <f>SUM('By Lot - East Campus'!O13,'By Lot - East Campus'!O31,'By Lot - East Campus'!O48,'By Lot - East Campus'!O65,'By Lot - East Campus'!O82)</f>
        <v>3</v>
      </c>
      <c r="N194" s="32">
        <f t="shared" si="65"/>
        <v>2</v>
      </c>
      <c r="O194" s="6">
        <f t="shared" si="66"/>
        <v>6</v>
      </c>
      <c r="P194" s="59">
        <f t="shared" si="67"/>
        <v>0.75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1.25" customHeight="1" x14ac:dyDescent="0.4">
      <c r="A195" s="17"/>
      <c r="B195" s="17" t="s">
        <v>309</v>
      </c>
      <c r="C195" s="17">
        <f>SUM('By Lot - East Campus'!E14:E19,'By Lot - East Campus'!E32:E37,'By Lot - East Campus'!E49:E54,'By Lot - East Campus'!E66:E71,'By Lot - East Campus'!E83:E88)</f>
        <v>90</v>
      </c>
      <c r="D195" s="32">
        <f>SUM('By Lot - East Campus'!F14:F19,'By Lot - East Campus'!F32:F37,'By Lot - East Campus'!F49:F54,'By Lot - East Campus'!F66:F71,'By Lot - East Campus'!F83:F88)</f>
        <v>54</v>
      </c>
      <c r="E195" s="6">
        <f>SUM('By Lot - East Campus'!G14:G19,'By Lot - East Campus'!G32:G37,'By Lot - East Campus'!G49:G54,'By Lot - East Campus'!G66:G71,'By Lot - East Campus'!G83:G88)</f>
        <v>54</v>
      </c>
      <c r="F195" s="6">
        <f>SUM('By Lot - East Campus'!H14:H19,'By Lot - East Campus'!H32:H37,'By Lot - East Campus'!H49:H54,'By Lot - East Campus'!H66:H71,'By Lot - East Campus'!H83:H88)</f>
        <v>22</v>
      </c>
      <c r="G195" s="6">
        <f>SUM('By Lot - East Campus'!I14:I19,'By Lot - East Campus'!I32:I37,'By Lot - East Campus'!I49:I54,'By Lot - East Campus'!I66:I71,'By Lot - East Campus'!I83:I88)</f>
        <v>22</v>
      </c>
      <c r="H195" s="6">
        <f>SUM('By Lot - East Campus'!J14:J19,'By Lot - East Campus'!J32:J37,'By Lot - East Campus'!J49:J54,'By Lot - East Campus'!J66:J71,'By Lot - East Campus'!J83:J88)</f>
        <v>25</v>
      </c>
      <c r="I195" s="6">
        <f>SUM('By Lot - East Campus'!K14:K19,'By Lot - East Campus'!K32:K37,'By Lot - East Campus'!K49:K54,'By Lot - East Campus'!K66:K71,'By Lot - East Campus'!K83:K88)</f>
        <v>23</v>
      </c>
      <c r="J195" s="6">
        <f>SUM('By Lot - East Campus'!L14:L19,'By Lot - East Campus'!L32:L37,'By Lot - East Campus'!L49:L54,'By Lot - East Campus'!L66:L71,'By Lot - East Campus'!L83:L88)</f>
        <v>19</v>
      </c>
      <c r="K195" s="6">
        <f>SUM('By Lot - East Campus'!M14:M19,'By Lot - East Campus'!M32:M37,'By Lot - East Campus'!M49:M54,'By Lot - East Campus'!M66:M71,'By Lot - East Campus'!M83:M88)</f>
        <v>28</v>
      </c>
      <c r="L195" s="6">
        <f>SUM('By Lot - East Campus'!N14:N19,'By Lot - East Campus'!N32:N37,'By Lot - East Campus'!N49:N54,'By Lot - East Campus'!N66:N71,'By Lot - East Campus'!N83:N88)</f>
        <v>22</v>
      </c>
      <c r="M195" s="31">
        <f>SUM('By Lot - East Campus'!O14:O19,'By Lot - East Campus'!O32:O37,'By Lot - East Campus'!O49:O54,'By Lot - East Campus'!O66:O71,'By Lot - East Campus'!O83:O88)</f>
        <v>30</v>
      </c>
      <c r="N195" s="32">
        <f t="shared" si="65"/>
        <v>19</v>
      </c>
      <c r="O195" s="6">
        <f t="shared" si="66"/>
        <v>71</v>
      </c>
      <c r="P195" s="59">
        <f t="shared" si="67"/>
        <v>0.78888888888888886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1.25" customHeight="1" x14ac:dyDescent="0.4">
      <c r="A196" s="17"/>
      <c r="B196" s="17" t="s">
        <v>310</v>
      </c>
      <c r="C196" s="17">
        <f>SUM('By Lot - East Campus'!E20,'By Lot - East Campus'!E38,'By Lot - East Campus'!E55,'By Lot - East Campus'!E72,'By Lot - East Campus'!E89)</f>
        <v>15</v>
      </c>
      <c r="D196" s="32">
        <f>SUM('By Lot - East Campus'!F20,'By Lot - East Campus'!F38,'By Lot - East Campus'!F55,'By Lot - East Campus'!F72,'By Lot - East Campus'!F89)</f>
        <v>14</v>
      </c>
      <c r="E196" s="6">
        <f>SUM('By Lot - East Campus'!G20,'By Lot - East Campus'!G38,'By Lot - East Campus'!G55,'By Lot - East Campus'!G72,'By Lot - East Campus'!G89)</f>
        <v>8</v>
      </c>
      <c r="F196" s="6">
        <f>SUM('By Lot - East Campus'!H20,'By Lot - East Campus'!H38,'By Lot - East Campus'!H55,'By Lot - East Campus'!H72,'By Lot - East Campus'!H89)</f>
        <v>9</v>
      </c>
      <c r="G196" s="6">
        <f>SUM('By Lot - East Campus'!I20,'By Lot - East Campus'!I38,'By Lot - East Campus'!I55,'By Lot - East Campus'!I72,'By Lot - East Campus'!I89)</f>
        <v>7</v>
      </c>
      <c r="H196" s="6">
        <f>SUM('By Lot - East Campus'!J20,'By Lot - East Campus'!J38,'By Lot - East Campus'!J55,'By Lot - East Campus'!J72,'By Lot - East Campus'!J89)</f>
        <v>10</v>
      </c>
      <c r="I196" s="6">
        <f>SUM('By Lot - East Campus'!K20,'By Lot - East Campus'!K38,'By Lot - East Campus'!K55,'By Lot - East Campus'!K72,'By Lot - East Campus'!K89)</f>
        <v>9</v>
      </c>
      <c r="J196" s="6">
        <f>SUM('By Lot - East Campus'!L20,'By Lot - East Campus'!L38,'By Lot - East Campus'!L55,'By Lot - East Campus'!L72,'By Lot - East Campus'!L89)</f>
        <v>11</v>
      </c>
      <c r="K196" s="6">
        <f>SUM('By Lot - East Campus'!M20,'By Lot - East Campus'!M38,'By Lot - East Campus'!M55,'By Lot - East Campus'!M72,'By Lot - East Campus'!M89)</f>
        <v>11</v>
      </c>
      <c r="L196" s="6">
        <f>SUM('By Lot - East Campus'!N20,'By Lot - East Campus'!N38,'By Lot - East Campus'!N55,'By Lot - East Campus'!N72,'By Lot - East Campus'!N89)</f>
        <v>12</v>
      </c>
      <c r="M196" s="31">
        <f>SUM('By Lot - East Campus'!O20,'By Lot - East Campus'!O38,'By Lot - East Campus'!O55,'By Lot - East Campus'!O72,'By Lot - East Campus'!O89)</f>
        <v>12</v>
      </c>
      <c r="N196" s="32">
        <f t="shared" si="65"/>
        <v>7</v>
      </c>
      <c r="O196" s="6">
        <f t="shared" si="66"/>
        <v>8</v>
      </c>
      <c r="P196" s="59">
        <f t="shared" si="67"/>
        <v>0.53333333333333333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1.25" customHeight="1" x14ac:dyDescent="0.4">
      <c r="A197" s="17"/>
      <c r="B197" s="17" t="s">
        <v>311</v>
      </c>
      <c r="C197" s="17">
        <f>SUM('By Lot - East Campus'!E21,'By Lot - East Campus'!E39,'By Lot - East Campus'!E56,'By Lot - East Campus'!E73,'By Lot - East Campus'!E90)</f>
        <v>9</v>
      </c>
      <c r="D197" s="32">
        <f>SUM('By Lot - East Campus'!F21,'By Lot - East Campus'!F39,'By Lot - East Campus'!F56,'By Lot - East Campus'!F73,'By Lot - East Campus'!F90)</f>
        <v>8</v>
      </c>
      <c r="E197" s="6">
        <f>SUM('By Lot - East Campus'!G21,'By Lot - East Campus'!G39,'By Lot - East Campus'!G56,'By Lot - East Campus'!G73,'By Lot - East Campus'!G90)</f>
        <v>8</v>
      </c>
      <c r="F197" s="6">
        <f>SUM('By Lot - East Campus'!H21,'By Lot - East Campus'!H39,'By Lot - East Campus'!H56,'By Lot - East Campus'!H73,'By Lot - East Campus'!H90)</f>
        <v>8</v>
      </c>
      <c r="G197" s="6">
        <f>SUM('By Lot - East Campus'!I21,'By Lot - East Campus'!I39,'By Lot - East Campus'!I56,'By Lot - East Campus'!I73,'By Lot - East Campus'!I90)</f>
        <v>8</v>
      </c>
      <c r="H197" s="6">
        <f>SUM('By Lot - East Campus'!J21,'By Lot - East Campus'!J39,'By Lot - East Campus'!J56,'By Lot - East Campus'!J73,'By Lot - East Campus'!J90)</f>
        <v>8</v>
      </c>
      <c r="I197" s="6">
        <f>SUM('By Lot - East Campus'!K21,'By Lot - East Campus'!K39,'By Lot - East Campus'!K56,'By Lot - East Campus'!K73,'By Lot - East Campus'!K90)</f>
        <v>8</v>
      </c>
      <c r="J197" s="6">
        <f>SUM('By Lot - East Campus'!L21,'By Lot - East Campus'!L39,'By Lot - East Campus'!L56,'By Lot - East Campus'!L73,'By Lot - East Campus'!L90)</f>
        <v>8</v>
      </c>
      <c r="K197" s="6">
        <f>SUM('By Lot - East Campus'!M21,'By Lot - East Campus'!M39,'By Lot - East Campus'!M56,'By Lot - East Campus'!M73,'By Lot - East Campus'!M90)</f>
        <v>8</v>
      </c>
      <c r="L197" s="6">
        <f>SUM('By Lot - East Campus'!N21,'By Lot - East Campus'!N39,'By Lot - East Campus'!N56,'By Lot - East Campus'!N73,'By Lot - East Campus'!N90)</f>
        <v>8</v>
      </c>
      <c r="M197" s="31">
        <f>SUM('By Lot - East Campus'!O21,'By Lot - East Campus'!O39,'By Lot - East Campus'!O56,'By Lot - East Campus'!O73,'By Lot - East Campus'!O90)</f>
        <v>8</v>
      </c>
      <c r="N197" s="32">
        <f t="shared" si="65"/>
        <v>8</v>
      </c>
      <c r="O197" s="6">
        <f t="shared" si="66"/>
        <v>1</v>
      </c>
      <c r="P197" s="59">
        <f t="shared" si="67"/>
        <v>0.1111111111111111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1.25" customHeight="1" x14ac:dyDescent="0.4">
      <c r="A198" s="17"/>
      <c r="B198" s="17" t="s">
        <v>312</v>
      </c>
      <c r="C198" s="17">
        <f>SUM('By Lot - East Campus'!E22,'By Lot - East Campus'!E40,'By Lot - East Campus'!E57,'By Lot - East Campus'!E74,'By Lot - East Campus'!E91)</f>
        <v>0</v>
      </c>
      <c r="D198" s="32">
        <f>SUM('By Lot - East Campus'!F22,'By Lot - East Campus'!F40,'By Lot - East Campus'!F57,'By Lot - East Campus'!F74,'By Lot - East Campus'!F91)</f>
        <v>0</v>
      </c>
      <c r="E198" s="6">
        <f>SUM('By Lot - East Campus'!G22,'By Lot - East Campus'!G40,'By Lot - East Campus'!G57,'By Lot - East Campus'!G74,'By Lot - East Campus'!G91)</f>
        <v>0</v>
      </c>
      <c r="F198" s="6">
        <f>SUM('By Lot - East Campus'!H22,'By Lot - East Campus'!H40,'By Lot - East Campus'!H57,'By Lot - East Campus'!H74,'By Lot - East Campus'!H91)</f>
        <v>0</v>
      </c>
      <c r="G198" s="6">
        <f>SUM('By Lot - East Campus'!I22,'By Lot - East Campus'!I40,'By Lot - East Campus'!I57,'By Lot - East Campus'!I74,'By Lot - East Campus'!I91)</f>
        <v>0</v>
      </c>
      <c r="H198" s="6">
        <f>SUM('By Lot - East Campus'!J22,'By Lot - East Campus'!J40,'By Lot - East Campus'!J57,'By Lot - East Campus'!J74,'By Lot - East Campus'!J91)</f>
        <v>0</v>
      </c>
      <c r="I198" s="6">
        <f>SUM('By Lot - East Campus'!K22,'By Lot - East Campus'!K40,'By Lot - East Campus'!K57,'By Lot - East Campus'!K74,'By Lot - East Campus'!K91)</f>
        <v>0</v>
      </c>
      <c r="J198" s="6">
        <f>SUM('By Lot - East Campus'!L22,'By Lot - East Campus'!L40,'By Lot - East Campus'!L57,'By Lot - East Campus'!L74,'By Lot - East Campus'!L91)</f>
        <v>0</v>
      </c>
      <c r="K198" s="6">
        <f>SUM('By Lot - East Campus'!M22,'By Lot - East Campus'!M40,'By Lot - East Campus'!M57,'By Lot - East Campus'!M74,'By Lot - East Campus'!M91)</f>
        <v>0</v>
      </c>
      <c r="L198" s="6">
        <f>SUM('By Lot - East Campus'!N22,'By Lot - East Campus'!N40,'By Lot - East Campus'!N57,'By Lot - East Campus'!N74,'By Lot - East Campus'!N91)</f>
        <v>0</v>
      </c>
      <c r="M198" s="31">
        <f>SUM('By Lot - East Campus'!O22,'By Lot - East Campus'!O40,'By Lot - East Campus'!O57,'By Lot - East Campus'!O74,'By Lot - East Campus'!O91)</f>
        <v>0</v>
      </c>
      <c r="N198" s="32">
        <f t="shared" si="65"/>
        <v>0</v>
      </c>
      <c r="O198" s="6">
        <f t="shared" si="66"/>
        <v>0</v>
      </c>
      <c r="P198" s="59">
        <v>0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1.25" customHeight="1" x14ac:dyDescent="0.4">
      <c r="A199" s="17"/>
      <c r="B199" s="17" t="s">
        <v>313</v>
      </c>
      <c r="C199" s="17">
        <f>SUM('By Lot - East Campus'!E23,'By Lot - East Campus'!E41,'By Lot - East Campus'!E58,'By Lot - East Campus'!E75,'By Lot - East Campus'!E92)</f>
        <v>5</v>
      </c>
      <c r="D199" s="32">
        <f>SUM('By Lot - East Campus'!F23,'By Lot - East Campus'!F41,'By Lot - East Campus'!F58,'By Lot - East Campus'!F75,'By Lot - East Campus'!F92)</f>
        <v>4</v>
      </c>
      <c r="E199" s="6">
        <f>SUM('By Lot - East Campus'!G23,'By Lot - East Campus'!G41,'By Lot - East Campus'!G58,'By Lot - East Campus'!G75,'By Lot - East Campus'!G92)</f>
        <v>4</v>
      </c>
      <c r="F199" s="6">
        <f>SUM('By Lot - East Campus'!H23,'By Lot - East Campus'!H41,'By Lot - East Campus'!H58,'By Lot - East Campus'!H75,'By Lot - East Campus'!H92)</f>
        <v>3</v>
      </c>
      <c r="G199" s="6">
        <f>SUM('By Lot - East Campus'!I23,'By Lot - East Campus'!I41,'By Lot - East Campus'!I58,'By Lot - East Campus'!I75,'By Lot - East Campus'!I92)</f>
        <v>3</v>
      </c>
      <c r="H199" s="6">
        <f>SUM('By Lot - East Campus'!J23,'By Lot - East Campus'!J41,'By Lot - East Campus'!J58,'By Lot - East Campus'!J75,'By Lot - East Campus'!J92)</f>
        <v>4</v>
      </c>
      <c r="I199" s="6">
        <f>SUM('By Lot - East Campus'!K23,'By Lot - East Campus'!K41,'By Lot - East Campus'!K58,'By Lot - East Campus'!K75,'By Lot - East Campus'!K92)</f>
        <v>3</v>
      </c>
      <c r="J199" s="6">
        <f>SUM('By Lot - East Campus'!L23,'By Lot - East Campus'!L41,'By Lot - East Campus'!L58,'By Lot - East Campus'!L75,'By Lot - East Campus'!L92)</f>
        <v>3</v>
      </c>
      <c r="K199" s="6">
        <f>SUM('By Lot - East Campus'!M23,'By Lot - East Campus'!M41,'By Lot - East Campus'!M58,'By Lot - East Campus'!M75,'By Lot - East Campus'!M92)</f>
        <v>2</v>
      </c>
      <c r="L199" s="6">
        <f>SUM('By Lot - East Campus'!N23,'By Lot - East Campus'!N41,'By Lot - East Campus'!N58,'By Lot - East Campus'!N75,'By Lot - East Campus'!N92)</f>
        <v>2</v>
      </c>
      <c r="M199" s="31">
        <f>SUM('By Lot - East Campus'!O23,'By Lot - East Campus'!O41,'By Lot - East Campus'!O58,'By Lot - East Campus'!O75,'By Lot - East Campus'!O92)</f>
        <v>0</v>
      </c>
      <c r="N199" s="32">
        <f t="shared" si="65"/>
        <v>0</v>
      </c>
      <c r="O199" s="6">
        <f t="shared" si="66"/>
        <v>5</v>
      </c>
      <c r="P199" s="59">
        <f t="shared" ref="P199:P202" si="68">O199/C199</f>
        <v>1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1.25" customHeight="1" x14ac:dyDescent="0.4">
      <c r="A200" s="34"/>
      <c r="B200" s="65" t="s">
        <v>314</v>
      </c>
      <c r="C200" s="65">
        <f t="shared" ref="C200:M200" si="69">SUM(C190:C199)</f>
        <v>1892</v>
      </c>
      <c r="D200" s="104">
        <f t="shared" si="69"/>
        <v>1495</v>
      </c>
      <c r="E200" s="128">
        <f t="shared" si="69"/>
        <v>1233</v>
      </c>
      <c r="F200" s="128">
        <f t="shared" si="69"/>
        <v>977</v>
      </c>
      <c r="G200" s="128">
        <f t="shared" si="69"/>
        <v>867</v>
      </c>
      <c r="H200" s="128">
        <f t="shared" si="69"/>
        <v>895</v>
      </c>
      <c r="I200" s="128">
        <f t="shared" si="69"/>
        <v>843</v>
      </c>
      <c r="J200" s="128">
        <f t="shared" si="69"/>
        <v>845</v>
      </c>
      <c r="K200" s="128">
        <f t="shared" si="69"/>
        <v>860</v>
      </c>
      <c r="L200" s="128">
        <f t="shared" si="69"/>
        <v>984</v>
      </c>
      <c r="M200" s="129">
        <f t="shared" si="69"/>
        <v>1126</v>
      </c>
      <c r="N200" s="104">
        <f t="shared" si="65"/>
        <v>843</v>
      </c>
      <c r="O200" s="128">
        <f t="shared" si="66"/>
        <v>1049</v>
      </c>
      <c r="P200" s="72">
        <f t="shared" si="68"/>
        <v>0.55443974630021142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1.25" customHeight="1" x14ac:dyDescent="0.4">
      <c r="A201" s="15" t="s">
        <v>29</v>
      </c>
      <c r="B201" s="17" t="s">
        <v>300</v>
      </c>
      <c r="C201" s="17">
        <f>SUM('By Structure'!C85,'By Structure'!C96,'By Structure'!C107,
'By Lot - East Campus'!E348,'By Lot - East Campus'!E365,'By Lot - East Campus'!E382,'By Lot - East Campus'!E399,'By Lot - East Campus'!E416,'By Lot - East Campus'!E450,'By Lot - East Campus'!E467,'By Lot - East Campus'!E484)</f>
        <v>640</v>
      </c>
      <c r="D201" s="32">
        <f>SUM('By Structure'!D85,'By Structure'!D96,'By Structure'!D107,'By Structure'!D118,'By Lot - East Campus'!F348,'By Lot - East Campus'!F365,'By Lot - East Campus'!F382,'By Lot - East Campus'!F399,'By Lot - East Campus'!F416,'By Lot - East Campus'!F433,'By Lot - East Campus'!F450,'By Lot - East Campus'!F467,'By Lot - East Campus'!F484)</f>
        <v>299</v>
      </c>
      <c r="E201" s="6">
        <f>SUM('By Structure'!E85,'By Structure'!E96,'By Structure'!E107,'By Structure'!E118,'By Lot - East Campus'!G348,'By Lot - East Campus'!G365,'By Lot - East Campus'!G382,'By Lot - East Campus'!G399,'By Lot - East Campus'!G416,'By Lot - East Campus'!G433,'By Lot - East Campus'!G450,'By Lot - East Campus'!G467,'By Lot - East Campus'!G484)</f>
        <v>206</v>
      </c>
      <c r="F201" s="6">
        <f>SUM('By Structure'!F85,'By Structure'!F96,'By Structure'!F107,'By Structure'!F118,'By Lot - East Campus'!H348,'By Lot - East Campus'!H365,'By Lot - East Campus'!H382,'By Lot - East Campus'!H399,'By Lot - East Campus'!H416,'By Lot - East Campus'!H433,'By Lot - East Campus'!H450,'By Lot - East Campus'!H467,'By Lot - East Campus'!H484)</f>
        <v>163</v>
      </c>
      <c r="G201" s="6">
        <f>SUM('By Structure'!G85,'By Structure'!G96,'By Structure'!G107,'By Structure'!G118,'By Lot - East Campus'!I348,'By Lot - East Campus'!I365,'By Lot - East Campus'!I382,'By Lot - East Campus'!I399,'By Lot - East Campus'!I416,'By Lot - East Campus'!I433,'By Lot - East Campus'!I450,'By Lot - East Campus'!I467,'By Lot - East Campus'!I484)</f>
        <v>146</v>
      </c>
      <c r="H201" s="6">
        <f>SUM('By Structure'!H85,'By Structure'!H96,'By Structure'!H107,'By Structure'!H118,'By Lot - East Campus'!J348,'By Lot - East Campus'!J365,'By Lot - East Campus'!J382,'By Lot - East Campus'!J399,'By Lot - East Campus'!J416,'By Lot - East Campus'!J433,'By Lot - East Campus'!J450,'By Lot - East Campus'!J467,'By Lot - East Campus'!J484)</f>
        <v>158</v>
      </c>
      <c r="I201" s="6">
        <f>SUM('By Structure'!I85,'By Structure'!I96,'By Structure'!I107,'By Structure'!I118,'By Lot - East Campus'!K348,'By Lot - East Campus'!K365,'By Lot - East Campus'!K382,'By Lot - East Campus'!K399,'By Lot - East Campus'!K416,'By Lot - East Campus'!K433,'By Lot - East Campus'!K450,'By Lot - East Campus'!K467,'By Lot - East Campus'!K484)</f>
        <v>157</v>
      </c>
      <c r="J201" s="6">
        <f>SUM('By Structure'!J85,'By Structure'!J96,'By Structure'!J107,'By Structure'!J118,'By Lot - East Campus'!L348,'By Lot - East Campus'!L365,'By Lot - East Campus'!L382,'By Lot - East Campus'!L399,'By Lot - East Campus'!L416,'By Lot - East Campus'!L433,'By Lot - East Campus'!L450,'By Lot - East Campus'!L467,'By Lot - East Campus'!L484)</f>
        <v>157</v>
      </c>
      <c r="K201" s="6">
        <f>SUM('By Structure'!K85,'By Structure'!K96,'By Structure'!K107,'By Structure'!K118,'By Lot - East Campus'!M348,'By Lot - East Campus'!M365,'By Lot - East Campus'!M382,'By Lot - East Campus'!M399,'By Lot - East Campus'!M416,'By Lot - East Campus'!M433,'By Lot - East Campus'!M450,'By Lot - East Campus'!M467,'By Lot - East Campus'!M484)</f>
        <v>196</v>
      </c>
      <c r="L201" s="6">
        <f>SUM('By Structure'!L85,'By Structure'!L96,'By Structure'!L107,'By Structure'!L118,'By Lot - East Campus'!N348,'By Lot - East Campus'!N365,'By Lot - East Campus'!N382,'By Lot - East Campus'!N399,'By Lot - East Campus'!N416,'By Lot - East Campus'!N433,'By Lot - East Campus'!N450,'By Lot - East Campus'!N467,'By Lot - East Campus'!N484)</f>
        <v>266</v>
      </c>
      <c r="M201" s="31">
        <f>SUM('By Structure'!M85,'By Structure'!M96,'By Structure'!M107,'By Structure'!M118,'By Lot - East Campus'!O348,'By Lot - East Campus'!O365,'By Lot - East Campus'!O382,'By Lot - East Campus'!O399,'By Lot - East Campus'!O416,'By Lot - East Campus'!O433,'By Lot - East Campus'!O450,'By Lot - East Campus'!O467,'By Lot - East Campus'!O484)</f>
        <v>311</v>
      </c>
      <c r="N201" s="32">
        <f t="shared" si="65"/>
        <v>146</v>
      </c>
      <c r="O201" s="6">
        <f t="shared" si="66"/>
        <v>494</v>
      </c>
      <c r="P201" s="59">
        <f t="shared" si="68"/>
        <v>0.77187499999999998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1.25" customHeight="1" x14ac:dyDescent="0.4">
      <c r="A202" s="17" t="s">
        <v>37</v>
      </c>
      <c r="B202" s="32" t="s">
        <v>301</v>
      </c>
      <c r="C202" s="17">
        <f>SUM('By Structure'!C86,'By Structure'!C97,'By Structure'!C108,
'By Lot - East Campus'!E129,'By Lot - East Campus'!E349,'By Lot - East Campus'!E366,'By Lot - East Campus'!E383,'By Lot - East Campus'!E400,'By Lot - East Campus'!E417,'By Lot - East Campus'!E434,'By Lot - East Campus'!E451,'By Lot - East Campus'!E468,'By Lot - East Campus'!E485)</f>
        <v>1042</v>
      </c>
      <c r="D202" s="6">
        <f>SUM('By Structure'!D86,'By Structure'!D97,'By Structure'!D108,
'By Lot - East Campus'!F129,'By Lot - East Campus'!F349,'By Lot - East Campus'!F366,'By Lot - East Campus'!F383,'By Lot - East Campus'!F400,'By Lot - East Campus'!F417,'By Lot - East Campus'!F434,'By Lot - East Campus'!F451,'By Lot - East Campus'!F468,'By Lot - East Campus'!F485)</f>
        <v>308</v>
      </c>
      <c r="E202" s="6">
        <f>SUM('By Structure'!E86,'By Structure'!E97,'By Structure'!E108,
'By Lot - East Campus'!G129,'By Lot - East Campus'!G349,'By Lot - East Campus'!G366,'By Lot - East Campus'!G383,'By Lot - East Campus'!G400,'By Lot - East Campus'!G417,'By Lot - East Campus'!G434,'By Lot - East Campus'!G451,'By Lot - East Campus'!G468,'By Lot - East Campus'!G485)</f>
        <v>233</v>
      </c>
      <c r="F202" s="6">
        <f>SUM('By Structure'!F86,'By Structure'!F97,'By Structure'!F108,
'By Lot - East Campus'!H129,'By Lot - East Campus'!H349,'By Lot - East Campus'!H366,'By Lot - East Campus'!H383,'By Lot - East Campus'!H400,'By Lot - East Campus'!H417,'By Lot - East Campus'!H434,'By Lot - East Campus'!H451,'By Lot - East Campus'!H468,'By Lot - East Campus'!H485)</f>
        <v>198</v>
      </c>
      <c r="G202" s="6">
        <f>SUM('By Structure'!G86,'By Structure'!G97,'By Structure'!G108,
'By Lot - East Campus'!I129,'By Lot - East Campus'!I349,'By Lot - East Campus'!I366,'By Lot - East Campus'!I383,'By Lot - East Campus'!I400,'By Lot - East Campus'!I417,'By Lot - East Campus'!I434,'By Lot - East Campus'!I451,'By Lot - East Campus'!I468,'By Lot - East Campus'!I485)</f>
        <v>198</v>
      </c>
      <c r="H202" s="6">
        <f>SUM('By Structure'!H86,'By Structure'!H97,'By Structure'!H108,
'By Lot - East Campus'!J129,'By Lot - East Campus'!J349,'By Lot - East Campus'!J366,'By Lot - East Campus'!J383,'By Lot - East Campus'!J400,'By Lot - East Campus'!J417,'By Lot - East Campus'!J434,'By Lot - East Campus'!J451,'By Lot - East Campus'!J468,'By Lot - East Campus'!J485)</f>
        <v>201</v>
      </c>
      <c r="I202" s="6">
        <f>SUM('By Structure'!I86,'By Structure'!I97,'By Structure'!I108,
'By Lot - East Campus'!K129,'By Lot - East Campus'!K349,'By Lot - East Campus'!K366,'By Lot - East Campus'!K383,'By Lot - East Campus'!K400,'By Lot - East Campus'!K417,'By Lot - East Campus'!K434,'By Lot - East Campus'!K451,'By Lot - East Campus'!K468,'By Lot - East Campus'!K485)</f>
        <v>198</v>
      </c>
      <c r="J202" s="6">
        <f>SUM('By Structure'!J86,'By Structure'!J97,'By Structure'!J108,
'By Lot - East Campus'!L129,'By Lot - East Campus'!L349,'By Lot - East Campus'!L366,'By Lot - East Campus'!L383,'By Lot - East Campus'!L400,'By Lot - East Campus'!L417,'By Lot - East Campus'!L434,'By Lot - East Campus'!L451,'By Lot - East Campus'!L468,'By Lot - East Campus'!L485)</f>
        <v>133</v>
      </c>
      <c r="K202" s="6">
        <f>SUM('By Structure'!K86,'By Structure'!K97,'By Structure'!K108,
'By Lot - East Campus'!M129,'By Lot - East Campus'!M349,'By Lot - East Campus'!M366,'By Lot - East Campus'!M383,'By Lot - East Campus'!M400,'By Lot - East Campus'!M417,'By Lot - East Campus'!M434,'By Lot - East Campus'!M451,'By Lot - East Campus'!M468,'By Lot - East Campus'!M485)</f>
        <v>167</v>
      </c>
      <c r="L202" s="6">
        <f>SUM('By Structure'!L86,'By Structure'!L97,'By Structure'!L108,
'By Lot - East Campus'!N129,'By Lot - East Campus'!N349,'By Lot - East Campus'!N366,'By Lot - East Campus'!N383,'By Lot - East Campus'!N400,'By Lot - East Campus'!N417,'By Lot - East Campus'!N434,'By Lot - East Campus'!N451,'By Lot - East Campus'!N468,'By Lot - East Campus'!N485)</f>
        <v>256</v>
      </c>
      <c r="M202" s="31">
        <f>SUM('By Structure'!M86,'By Structure'!M97,'By Structure'!M108,
'By Lot - East Campus'!O129,'By Lot - East Campus'!O349,'By Lot - East Campus'!O366,'By Lot - East Campus'!O383,'By Lot - East Campus'!O400,'By Lot - East Campus'!O417,'By Lot - East Campus'!O434,'By Lot - East Campus'!O451,'By Lot - East Campus'!O468,'By Lot - East Campus'!O485)</f>
        <v>219</v>
      </c>
      <c r="N202" s="6">
        <f t="shared" si="65"/>
        <v>133</v>
      </c>
      <c r="O202" s="6">
        <f t="shared" si="66"/>
        <v>909</v>
      </c>
      <c r="P202" s="59">
        <f t="shared" si="68"/>
        <v>0.87236084452975049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1.25" customHeight="1" x14ac:dyDescent="0.4">
      <c r="A203" s="17"/>
      <c r="B203" s="17" t="s">
        <v>303</v>
      </c>
      <c r="C203" s="17"/>
      <c r="D203" s="32"/>
      <c r="E203" s="6"/>
      <c r="F203" s="6"/>
      <c r="G203" s="6"/>
      <c r="H203" s="6"/>
      <c r="I203" s="6"/>
      <c r="J203" s="6"/>
      <c r="K203" s="6"/>
      <c r="L203" s="6"/>
      <c r="M203" s="31"/>
      <c r="N203" s="32"/>
      <c r="O203" s="6"/>
      <c r="P203" s="59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1.25" customHeight="1" x14ac:dyDescent="0.4">
      <c r="A204" s="27"/>
      <c r="B204" s="17" t="s">
        <v>307</v>
      </c>
      <c r="C204" s="17">
        <f>SUM('By Structure'!C88,'By Structure'!C99,'By Structure'!C110,
'By Lot - East Campus'!E351,'By Lot - East Campus'!E368,'By Lot - East Campus'!E385,'By Lot - East Campus'!E402,'By Lot - East Campus'!E419,'By Lot - East Campus'!E436,'By Lot - East Campus'!E453,'By Lot - East Campus'!E470,'By Lot - East Campus'!E487)</f>
        <v>882</v>
      </c>
      <c r="D204" s="32">
        <f>SUM('By Structure'!D88,'By Structure'!D99,'By Structure'!D110,
'By Lot - East Campus'!F351,'By Lot - East Campus'!F368,'By Lot - East Campus'!F385,'By Lot - East Campus'!F402,'By Lot - East Campus'!F419,'By Lot - East Campus'!F436,'By Lot - East Campus'!F453,'By Lot - East Campus'!F470,'By Lot - East Campus'!F487)</f>
        <v>397</v>
      </c>
      <c r="E204" s="6">
        <f>SUM('By Structure'!E88,'By Structure'!E99,'By Structure'!E110,
'By Lot - East Campus'!G351,'By Lot - East Campus'!G368,'By Lot - East Campus'!G385,'By Lot - East Campus'!G402,'By Lot - East Campus'!G419,'By Lot - East Campus'!G436,'By Lot - East Campus'!G453,'By Lot - East Campus'!G470,'By Lot - East Campus'!G487)</f>
        <v>201</v>
      </c>
      <c r="F204" s="6">
        <f>SUM('By Structure'!F88,'By Structure'!F99,'By Structure'!F110,
'By Lot - East Campus'!H351,'By Lot - East Campus'!H368,'By Lot - East Campus'!H385,'By Lot - East Campus'!H402,'By Lot - East Campus'!H419,'By Lot - East Campus'!H436,'By Lot - East Campus'!H453,'By Lot - East Campus'!H470,'By Lot - East Campus'!H487)</f>
        <v>170</v>
      </c>
      <c r="G204" s="6">
        <f>SUM('By Structure'!G88,'By Structure'!G99,'By Structure'!G110,
'By Lot - East Campus'!I351,'By Lot - East Campus'!I368,'By Lot - East Campus'!I385,'By Lot - East Campus'!I402,'By Lot - East Campus'!I419,'By Lot - East Campus'!I436,'By Lot - East Campus'!I453,'By Lot - East Campus'!I470,'By Lot - East Campus'!I487)</f>
        <v>107</v>
      </c>
      <c r="H204" s="6">
        <f>SUM('By Structure'!H88,'By Structure'!H99,'By Structure'!H110,
'By Lot - East Campus'!J351,'By Lot - East Campus'!J368,'By Lot - East Campus'!J385,'By Lot - East Campus'!J402,'By Lot - East Campus'!J419,'By Lot - East Campus'!J436,'By Lot - East Campus'!J453,'By Lot - East Campus'!J470,'By Lot - East Campus'!J487)</f>
        <v>116</v>
      </c>
      <c r="I204" s="6">
        <f>SUM('By Structure'!I88,'By Structure'!I99,'By Structure'!I110,
'By Lot - East Campus'!K351,'By Lot - East Campus'!K368,'By Lot - East Campus'!K385,'By Lot - East Campus'!K402,'By Lot - East Campus'!K419,'By Lot - East Campus'!K436,'By Lot - East Campus'!K453,'By Lot - East Campus'!K470,'By Lot - East Campus'!K487)</f>
        <v>102</v>
      </c>
      <c r="J204" s="6">
        <f>SUM('By Structure'!J88,'By Structure'!J99,'By Structure'!J110,
'By Lot - East Campus'!L351,'By Lot - East Campus'!L368,'By Lot - East Campus'!L385,'By Lot - East Campus'!L402,'By Lot - East Campus'!L419,'By Lot - East Campus'!L436,'By Lot - East Campus'!L453,'By Lot - East Campus'!L470,'By Lot - East Campus'!L487)</f>
        <v>78</v>
      </c>
      <c r="K204" s="6">
        <f>SUM('By Structure'!K88,'By Structure'!K99,'By Structure'!K110,
'By Lot - East Campus'!M351,'By Lot - East Campus'!M368,'By Lot - East Campus'!M385,'By Lot - East Campus'!M402,'By Lot - East Campus'!M419,'By Lot - East Campus'!M436,'By Lot - East Campus'!M453,'By Lot - East Campus'!M470,'By Lot - East Campus'!M487)</f>
        <v>97</v>
      </c>
      <c r="L204" s="6">
        <f>SUM('By Structure'!L88,'By Structure'!L99,'By Structure'!L110,
'By Lot - East Campus'!N351,'By Lot - East Campus'!N368,'By Lot - East Campus'!N385,'By Lot - East Campus'!N402,'By Lot - East Campus'!N419,'By Lot - East Campus'!N436,'By Lot - East Campus'!N453,'By Lot - East Campus'!N470,'By Lot - East Campus'!N487)</f>
        <v>207</v>
      </c>
      <c r="M204" s="31">
        <f>SUM('By Structure'!M88,'By Structure'!M99,'By Structure'!M110,
'By Lot - East Campus'!O351,'By Lot - East Campus'!O368,'By Lot - East Campus'!O385,'By Lot - East Campus'!O402,'By Lot - East Campus'!O419,'By Lot - East Campus'!O436,'By Lot - East Campus'!O453,'By Lot - East Campus'!O470,'By Lot - East Campus'!O487)</f>
        <v>273</v>
      </c>
      <c r="N204" s="32">
        <f t="shared" ref="N204:N211" si="70">MIN(D204:M204)</f>
        <v>78</v>
      </c>
      <c r="O204" s="6">
        <f t="shared" ref="O204:O211" si="71">C204-N204</f>
        <v>804</v>
      </c>
      <c r="P204" s="59">
        <f t="shared" ref="P204:P211" si="72">O204/C204</f>
        <v>0.91156462585034015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1.25" customHeight="1" x14ac:dyDescent="0.4">
      <c r="A205" s="27"/>
      <c r="B205" s="17" t="s">
        <v>308</v>
      </c>
      <c r="C205" s="17">
        <f>SUM('By Structure'!C89,'By Structure'!C100,'By Structure'!C111,
'By Lot - East Campus'!E353,'By Lot - East Campus'!E370,'By Lot - East Campus'!E387,'By Lot - East Campus'!E404,'By Lot - East Campus'!E421,'By Lot - East Campus'!E438,'By Lot - East Campus'!E455,'By Lot - East Campus'!E472,'By Lot - East Campus'!E489)</f>
        <v>105</v>
      </c>
      <c r="D205" s="32">
        <f>SUM('By Structure'!D89,'By Structure'!D100,'By Structure'!D111,
'By Lot - East Campus'!F353,'By Lot - East Campus'!F370,'By Lot - East Campus'!F387,'By Lot - East Campus'!F404,'By Lot - East Campus'!F421,'By Lot - East Campus'!F438,'By Lot - East Campus'!F455,'By Lot - East Campus'!F472,'By Lot - East Campus'!F489)</f>
        <v>76</v>
      </c>
      <c r="E205" s="6">
        <f>SUM('By Structure'!E89,'By Structure'!E100,'By Structure'!E111,
'By Lot - East Campus'!G353,'By Lot - East Campus'!G370,'By Lot - East Campus'!G387,'By Lot - East Campus'!G404,'By Lot - East Campus'!G421,'By Lot - East Campus'!G438,'By Lot - East Campus'!G455,'By Lot - East Campus'!G472,'By Lot - East Campus'!G489)</f>
        <v>66</v>
      </c>
      <c r="F205" s="6">
        <f>SUM('By Structure'!F89,'By Structure'!F100,'By Structure'!F111,
'By Lot - East Campus'!H353,'By Lot - East Campus'!H370,'By Lot - East Campus'!H387,'By Lot - East Campus'!H404,'By Lot - East Campus'!H421,'By Lot - East Campus'!H438,'By Lot - East Campus'!H455,'By Lot - East Campus'!H472,'By Lot - East Campus'!H489)</f>
        <v>64</v>
      </c>
      <c r="G205" s="6">
        <f>SUM('By Structure'!G89,'By Structure'!G100,'By Structure'!G111,
'By Lot - East Campus'!I353,'By Lot - East Campus'!I370,'By Lot - East Campus'!I387,'By Lot - East Campus'!I404,'By Lot - East Campus'!I421,'By Lot - East Campus'!I438,'By Lot - East Campus'!I455,'By Lot - East Campus'!I472,'By Lot - East Campus'!I489)</f>
        <v>58</v>
      </c>
      <c r="H205" s="6">
        <f>SUM('By Structure'!H89,'By Structure'!H100,'By Structure'!H111,
'By Lot - East Campus'!J353,'By Lot - East Campus'!J370,'By Lot - East Campus'!J387,'By Lot - East Campus'!J404,'By Lot - East Campus'!J421,'By Lot - East Campus'!J438,'By Lot - East Campus'!J455,'By Lot - East Campus'!J472,'By Lot - East Campus'!J489)</f>
        <v>64</v>
      </c>
      <c r="I205" s="6">
        <f>SUM('By Structure'!I89,'By Structure'!I100,'By Structure'!I111,
'By Lot - East Campus'!K353,'By Lot - East Campus'!K370,'By Lot - East Campus'!K387,'By Lot - East Campus'!K404,'By Lot - East Campus'!K421,'By Lot - East Campus'!K438,'By Lot - East Campus'!K455,'By Lot - East Campus'!K472,'By Lot - East Campus'!K489)</f>
        <v>66</v>
      </c>
      <c r="J205" s="6">
        <f>SUM('By Structure'!J89,'By Structure'!J100,'By Structure'!J111,
'By Lot - East Campus'!L353,'By Lot - East Campus'!L370,'By Lot - East Campus'!L387,'By Lot - East Campus'!L404,'By Lot - East Campus'!L421,'By Lot - East Campus'!L438,'By Lot - East Campus'!L455,'By Lot - East Campus'!L472,'By Lot - East Campus'!L489)</f>
        <v>58</v>
      </c>
      <c r="K205" s="6">
        <f>SUM('By Structure'!K89,'By Structure'!K100,'By Structure'!K111,
'By Lot - East Campus'!M353,'By Lot - East Campus'!M370,'By Lot - East Campus'!M387,'By Lot - East Campus'!M404,'By Lot - East Campus'!M421,'By Lot - East Campus'!M438,'By Lot - East Campus'!M455,'By Lot - East Campus'!M472,'By Lot - East Campus'!M489)</f>
        <v>62</v>
      </c>
      <c r="L205" s="6">
        <f>SUM('By Structure'!L89,'By Structure'!L100,'By Structure'!L111,
'By Lot - East Campus'!N353,'By Lot - East Campus'!N370,'By Lot - East Campus'!N387,'By Lot - East Campus'!N404,'By Lot - East Campus'!N421,'By Lot - East Campus'!N438,'By Lot - East Campus'!N455,'By Lot - East Campus'!N472,'By Lot - East Campus'!N489)</f>
        <v>74</v>
      </c>
      <c r="M205" s="31">
        <f>SUM('By Structure'!M89,'By Structure'!M100,'By Structure'!M111,
'By Lot - East Campus'!O353,'By Lot - East Campus'!O370,'By Lot - East Campus'!O387,'By Lot - East Campus'!O404,'By Lot - East Campus'!O421,'By Lot - East Campus'!O438,'By Lot - East Campus'!O455,'By Lot - East Campus'!O472,'By Lot - East Campus'!O489)</f>
        <v>72</v>
      </c>
      <c r="N205" s="32">
        <f t="shared" si="70"/>
        <v>58</v>
      </c>
      <c r="O205" s="6">
        <f t="shared" si="71"/>
        <v>47</v>
      </c>
      <c r="P205" s="59">
        <f t="shared" si="72"/>
        <v>0.44761904761904764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1.25" customHeight="1" x14ac:dyDescent="0.4">
      <c r="A206" s="27"/>
      <c r="B206" s="17" t="s">
        <v>309</v>
      </c>
      <c r="C206" s="17">
        <f>SUM('By Structure'!C90,'By Structure'!C101,'By Structure'!C112,
'By Lot - East Campus'!E354:E359,'By Lot - East Campus'!E371:E376,'By Lot - East Campus'!E388:E393,'By Lot - East Campus'!E405:E410,'By Lot - East Campus'!E422:E427,'By Lot - East Campus'!E439:E444,'By Lot - East Campus'!E456:E461,
'By Lot - East Campus'!E473:E478,'By Lot - East Campus'!E490:E495,
'By Lot - East Campus'!E433)</f>
        <v>338</v>
      </c>
      <c r="D206" s="32">
        <f>SUM('By Structure'!D90,'By Structure'!D101,'By Structure'!D112,
'By Lot - East Campus'!F354:F359,'By Lot - East Campus'!F371:F376,'By Lot - East Campus'!F388:F393,'By Lot - East Campus'!F405:F410,'By Lot - East Campus'!F422:F427,'By Lot - East Campus'!F439:F444,'By Lot - East Campus'!F456:F461,
'By Lot - East Campus'!F473:F478,'By Lot - East Campus'!F490:F495,
'By Lot - East Campus'!F433)</f>
        <v>170</v>
      </c>
      <c r="E206" s="6">
        <f>SUM('By Structure'!E90,'By Structure'!E101,'By Structure'!E112,
'By Lot - East Campus'!G354:G359,'By Lot - East Campus'!G371:G376,'By Lot - East Campus'!G388:G393,'By Lot - East Campus'!G405:G410,'By Lot - East Campus'!G422:G427,'By Lot - East Campus'!G439:G444,'By Lot - East Campus'!G456:G461,
'By Lot - East Campus'!G473:G478,'By Lot - East Campus'!G490:G495,
'By Lot - East Campus'!G433)</f>
        <v>124</v>
      </c>
      <c r="F206" s="6">
        <f>SUM('By Structure'!F90,'By Structure'!F101,'By Structure'!F112,
'By Lot - East Campus'!H354:H359,'By Lot - East Campus'!H371:H376,'By Lot - East Campus'!H388:H393,'By Lot - East Campus'!H405:H410,'By Lot - East Campus'!H422:H427,'By Lot - East Campus'!H439:H444,'By Lot - East Campus'!H456:H461,
'By Lot - East Campus'!H473:H478,'By Lot - East Campus'!H490:H495,
'By Lot - East Campus'!H433)</f>
        <v>83</v>
      </c>
      <c r="G206" s="6">
        <f>SUM('By Structure'!G90,'By Structure'!G101,'By Structure'!G112,
'By Lot - East Campus'!I354:I359,'By Lot - East Campus'!I371:I376,'By Lot - East Campus'!I388:I393,'By Lot - East Campus'!I405:I410,'By Lot - East Campus'!I422:I427,'By Lot - East Campus'!I439:I444,'By Lot - East Campus'!I456:I461,
'By Lot - East Campus'!I473:I478,'By Lot - East Campus'!I490:I495,
'By Lot - East Campus'!I433)</f>
        <v>76</v>
      </c>
      <c r="H206" s="6">
        <f>SUM('By Structure'!H90,'By Structure'!H101,'By Structure'!H112,
'By Lot - East Campus'!J354:J359,'By Lot - East Campus'!J371:J376,'By Lot - East Campus'!J388:J393,'By Lot - East Campus'!J405:J410,'By Lot - East Campus'!J422:J427,'By Lot - East Campus'!J439:J444,'By Lot - East Campus'!J456:J461,
'By Lot - East Campus'!J473:J478,'By Lot - East Campus'!J490:J495,
'By Lot - East Campus'!J433)</f>
        <v>76</v>
      </c>
      <c r="I206" s="6">
        <f>SUM('By Structure'!I90,'By Structure'!I101,'By Structure'!I112,
'By Lot - East Campus'!K354:K359,'By Lot - East Campus'!K371:K376,'By Lot - East Campus'!K388:K393,'By Lot - East Campus'!K405:K410,'By Lot - East Campus'!K422:K427,'By Lot - East Campus'!K439:K444,'By Lot - East Campus'!K456:K461,
'By Lot - East Campus'!K473:K478,'By Lot - East Campus'!K490:K495,
'By Lot - East Campus'!K433)</f>
        <v>74</v>
      </c>
      <c r="J206" s="6">
        <f>SUM('By Structure'!J90,'By Structure'!J101,'By Structure'!J112,
'By Lot - East Campus'!L354:L359,'By Lot - East Campus'!L371:L376,'By Lot - East Campus'!L388:L393,'By Lot - East Campus'!L405:L410,'By Lot - East Campus'!L422:L427,'By Lot - East Campus'!L439:L444,'By Lot - East Campus'!L456:L461,
'By Lot - East Campus'!L473:L478,'By Lot - East Campus'!L490:L495,
'By Lot - East Campus'!L433)</f>
        <v>82</v>
      </c>
      <c r="K206" s="6">
        <f>SUM('By Structure'!K90,'By Structure'!K101,'By Structure'!K112,
'By Lot - East Campus'!M354:M359,'By Lot - East Campus'!M371:M376,'By Lot - East Campus'!M388:M393,'By Lot - East Campus'!M405:M410,'By Lot - East Campus'!M422:M427,'By Lot - East Campus'!M439:M444,'By Lot - East Campus'!M456:M461,
'By Lot - East Campus'!M473:M478,'By Lot - East Campus'!M490:M495,
'By Lot - East Campus'!M433)</f>
        <v>101</v>
      </c>
      <c r="L206" s="6">
        <f>SUM('By Structure'!L90,'By Structure'!L101,'By Structure'!L112,
'By Lot - East Campus'!N354:N359,'By Lot - East Campus'!N371:N376,'By Lot - East Campus'!N388:N393,'By Lot - East Campus'!N405:N410,'By Lot - East Campus'!N422:N427,'By Lot - East Campus'!N439:N444,'By Lot - East Campus'!N456:N461,
'By Lot - East Campus'!N473:N478,'By Lot - East Campus'!N490:N495,
'By Lot - East Campus'!N433)</f>
        <v>150</v>
      </c>
      <c r="M206" s="31">
        <f>SUM('By Structure'!M90,'By Structure'!M101,'By Structure'!M112,
'By Lot - East Campus'!O354:O359,'By Lot - East Campus'!O371:O376,'By Lot - East Campus'!O388:O393,'By Lot - East Campus'!O405:O410,'By Lot - East Campus'!O422:O427,'By Lot - East Campus'!O439:O444,'By Lot - East Campus'!O456:O461,
'By Lot - East Campus'!O473:O478,'By Lot - East Campus'!O490:O495,
'By Lot - East Campus'!O433)</f>
        <v>141</v>
      </c>
      <c r="N206" s="32">
        <f t="shared" si="70"/>
        <v>74</v>
      </c>
      <c r="O206" s="6">
        <f t="shared" si="71"/>
        <v>264</v>
      </c>
      <c r="P206" s="59">
        <f t="shared" si="72"/>
        <v>0.78106508875739644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1.25" customHeight="1" x14ac:dyDescent="0.4">
      <c r="A207" s="17"/>
      <c r="B207" s="17" t="s">
        <v>310</v>
      </c>
      <c r="C207" s="17">
        <f>SUM('By Structure'!C91,'By Structure'!C102,'By Structure'!C113,
'By Lot - East Campus'!E360,'By Lot - East Campus'!E377,'By Lot - East Campus'!E394,'By Lot - East Campus'!E411,'By Lot - East Campus'!E428,'By Lot - East Campus'!E445,'By Lot - East Campus'!E462,'By Lot - East Campus'!E479,'By Lot - East Campus'!E496)</f>
        <v>236</v>
      </c>
      <c r="D207" s="32">
        <f>SUM('By Structure'!D91,'By Structure'!D102,'By Structure'!D113,
'By Lot - East Campus'!F360,'By Lot - East Campus'!F377,'By Lot - East Campus'!F394,'By Lot - East Campus'!F411,'By Lot - East Campus'!F428,'By Lot - East Campus'!F445,'By Lot - East Campus'!F462,'By Lot - East Campus'!F479,'By Lot - East Campus'!F496)</f>
        <v>121</v>
      </c>
      <c r="E207" s="6">
        <f>SUM('By Structure'!E91,'By Structure'!E102,'By Structure'!E113,
'By Lot - East Campus'!G360,'By Lot - East Campus'!G377,'By Lot - East Campus'!G394,'By Lot - East Campus'!G411,'By Lot - East Campus'!G428,'By Lot - East Campus'!G445,'By Lot - East Campus'!G462,'By Lot - East Campus'!G479,'By Lot - East Campus'!G496)</f>
        <v>73</v>
      </c>
      <c r="F207" s="6">
        <f>SUM('By Structure'!F91,'By Structure'!F102,'By Structure'!F113,
'By Lot - East Campus'!H360,'By Lot - East Campus'!H377,'By Lot - East Campus'!H394,'By Lot - East Campus'!H411,'By Lot - East Campus'!H428,'By Lot - East Campus'!H445,'By Lot - East Campus'!H462,'By Lot - East Campus'!H479,'By Lot - East Campus'!H496)</f>
        <v>48</v>
      </c>
      <c r="G207" s="6">
        <f>SUM('By Structure'!G91,'By Structure'!G102,'By Structure'!G113,
'By Lot - East Campus'!I360,'By Lot - East Campus'!I377,'By Lot - East Campus'!I394,'By Lot - East Campus'!I411,'By Lot - East Campus'!I428,'By Lot - East Campus'!I445,'By Lot - East Campus'!I462,'By Lot - East Campus'!I479,'By Lot - East Campus'!I496)</f>
        <v>41</v>
      </c>
      <c r="H207" s="6">
        <f>SUM('By Structure'!H91,'By Structure'!H102,'By Structure'!H113,
'By Lot - East Campus'!J360,'By Lot - East Campus'!J377,'By Lot - East Campus'!J394,'By Lot - East Campus'!J411,'By Lot - East Campus'!J428,'By Lot - East Campus'!J445,'By Lot - East Campus'!J462,'By Lot - East Campus'!J479,'By Lot - East Campus'!J496)</f>
        <v>85</v>
      </c>
      <c r="I207" s="6">
        <f>SUM('By Structure'!I91,'By Structure'!I102,'By Structure'!I113,
'By Lot - East Campus'!K360,'By Lot - East Campus'!K377,'By Lot - East Campus'!K394,'By Lot - East Campus'!K411,'By Lot - East Campus'!K428,'By Lot - East Campus'!K445,'By Lot - East Campus'!K462,'By Lot - East Campus'!K479,'By Lot - East Campus'!K496)</f>
        <v>41</v>
      </c>
      <c r="J207" s="6">
        <f>SUM('By Structure'!J91,'By Structure'!J102,'By Structure'!J113,
'By Lot - East Campus'!L360,'By Lot - East Campus'!L377,'By Lot - East Campus'!L394,'By Lot - East Campus'!L411,'By Lot - East Campus'!L428,'By Lot - East Campus'!L445,'By Lot - East Campus'!L462,'By Lot - East Campus'!L479,'By Lot - East Campus'!L496)</f>
        <v>51</v>
      </c>
      <c r="K207" s="6">
        <f>SUM('By Structure'!K91,'By Structure'!K102,'By Structure'!K113,
'By Lot - East Campus'!M360,'By Lot - East Campus'!M377,'By Lot - East Campus'!M394,'By Lot - East Campus'!M411,'By Lot - East Campus'!M428,'By Lot - East Campus'!M445,'By Lot - East Campus'!M462,'By Lot - East Campus'!M479,'By Lot - East Campus'!M496)</f>
        <v>79</v>
      </c>
      <c r="L207" s="6">
        <f>SUM('By Structure'!L91,'By Structure'!L102,'By Structure'!L113,
'By Lot - East Campus'!N360,'By Lot - East Campus'!N377,'By Lot - East Campus'!N394,'By Lot - East Campus'!N411,'By Lot - East Campus'!N428,'By Lot - East Campus'!N445,'By Lot - East Campus'!N462,'By Lot - East Campus'!N479,'By Lot - East Campus'!N496)</f>
        <v>96</v>
      </c>
      <c r="M207" s="31">
        <f>SUM('By Structure'!M91,'By Structure'!M102,'By Structure'!M113,
'By Lot - East Campus'!O360,'By Lot - East Campus'!O377,'By Lot - East Campus'!O394,'By Lot - East Campus'!O411,'By Lot - East Campus'!O428,'By Lot - East Campus'!O445,'By Lot - East Campus'!O462,'By Lot - East Campus'!O479,'By Lot - East Campus'!O496)</f>
        <v>110</v>
      </c>
      <c r="N207" s="32">
        <f t="shared" si="70"/>
        <v>41</v>
      </c>
      <c r="O207" s="6">
        <f t="shared" si="71"/>
        <v>195</v>
      </c>
      <c r="P207" s="59">
        <f t="shared" si="72"/>
        <v>0.82627118644067798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1.25" customHeight="1" x14ac:dyDescent="0.4">
      <c r="A208" s="164"/>
      <c r="B208" s="17" t="s">
        <v>311</v>
      </c>
      <c r="C208" s="17">
        <f>SUM('By Structure'!C92,'By Structure'!C103,'By Structure'!C114,
'By Lot - East Campus'!E361,'By Lot - East Campus'!E378,'By Lot - East Campus'!E395,'By Lot - East Campus'!E412,'By Lot - East Campus'!E429,'By Lot - East Campus'!E446,'By Lot - East Campus'!E463,'By Lot - East Campus'!E480,'By Lot - East Campus'!E497)</f>
        <v>6</v>
      </c>
      <c r="D208" s="32">
        <f>SUM('By Structure'!D92,'By Structure'!D103,'By Structure'!D114,
'By Lot - East Campus'!F361,'By Lot - East Campus'!F378,'By Lot - East Campus'!F395,'By Lot - East Campus'!F412,'By Lot - East Campus'!F429,'By Lot - East Campus'!F446,'By Lot - East Campus'!F463,'By Lot - East Campus'!F480,'By Lot - East Campus'!F497)</f>
        <v>2</v>
      </c>
      <c r="E208" s="6">
        <f>SUM('By Structure'!E92,'By Structure'!E103,'By Structure'!E114,
'By Lot - East Campus'!G361,'By Lot - East Campus'!G378,'By Lot - East Campus'!G395,'By Lot - East Campus'!G412,'By Lot - East Campus'!G429,'By Lot - East Campus'!G446,'By Lot - East Campus'!G463,'By Lot - East Campus'!G480,'By Lot - East Campus'!G497)</f>
        <v>4</v>
      </c>
      <c r="F208" s="6">
        <f>SUM('By Structure'!F92,'By Structure'!F103,'By Structure'!F114,
'By Lot - East Campus'!H361,'By Lot - East Campus'!H378,'By Lot - East Campus'!H395,'By Lot - East Campus'!H412,'By Lot - East Campus'!H429,'By Lot - East Campus'!H446,'By Lot - East Campus'!H463,'By Lot - East Campus'!H480,'By Lot - East Campus'!H497)</f>
        <v>1</v>
      </c>
      <c r="G208" s="6">
        <f>SUM('By Structure'!G92,'By Structure'!G103,'By Structure'!G114,
'By Lot - East Campus'!I361,'By Lot - East Campus'!I378,'By Lot - East Campus'!I395,'By Lot - East Campus'!I412,'By Lot - East Campus'!I429,'By Lot - East Campus'!I446,'By Lot - East Campus'!I463,'By Lot - East Campus'!I480,'By Lot - East Campus'!I497)</f>
        <v>1</v>
      </c>
      <c r="H208" s="6">
        <f>SUM('By Structure'!H92,'By Structure'!H103,'By Structure'!H114,
'By Lot - East Campus'!J361,'By Lot - East Campus'!J378,'By Lot - East Campus'!J395,'By Lot - East Campus'!J412,'By Lot - East Campus'!J429,'By Lot - East Campus'!J446,'By Lot - East Campus'!J463,'By Lot - East Campus'!J480,'By Lot - East Campus'!J497)</f>
        <v>4</v>
      </c>
      <c r="I208" s="6">
        <f>SUM('By Structure'!I92,'By Structure'!I103,'By Structure'!I114,
'By Lot - East Campus'!K361,'By Lot - East Campus'!K378,'By Lot - East Campus'!K395,'By Lot - East Campus'!K412,'By Lot - East Campus'!K429,'By Lot - East Campus'!K446,'By Lot - East Campus'!K463,'By Lot - East Campus'!K480,'By Lot - East Campus'!K497)</f>
        <v>1</v>
      </c>
      <c r="J208" s="6">
        <f>SUM('By Structure'!J92,'By Structure'!J103,'By Structure'!J114,
'By Lot - East Campus'!L361,'By Lot - East Campus'!L378,'By Lot - East Campus'!L395,'By Lot - East Campus'!L412,'By Lot - East Campus'!L429,'By Lot - East Campus'!L446,'By Lot - East Campus'!L463,'By Lot - East Campus'!L480,'By Lot - East Campus'!L497)</f>
        <v>5</v>
      </c>
      <c r="K208" s="6">
        <f>SUM('By Structure'!K92,'By Structure'!K103,'By Structure'!K114,
'By Lot - East Campus'!M361,'By Lot - East Campus'!M378,'By Lot - East Campus'!M395,'By Lot - East Campus'!M412,'By Lot - East Campus'!M429,'By Lot - East Campus'!M446,'By Lot - East Campus'!M463,'By Lot - East Campus'!M480,'By Lot - East Campus'!M497)</f>
        <v>5</v>
      </c>
      <c r="L208" s="6">
        <f>SUM('By Structure'!L92,'By Structure'!L103,'By Structure'!L114,
'By Lot - East Campus'!N361,'By Lot - East Campus'!N378,'By Lot - East Campus'!N395,'By Lot - East Campus'!N412,'By Lot - East Campus'!N429,'By Lot - East Campus'!N446,'By Lot - East Campus'!N463,'By Lot - East Campus'!N480,'By Lot - East Campus'!N497)</f>
        <v>5</v>
      </c>
      <c r="M208" s="31">
        <f>SUM('By Structure'!M92,'By Structure'!M103,'By Structure'!M114,
'By Lot - East Campus'!O361,'By Lot - East Campus'!O378,'By Lot - East Campus'!O395,'By Lot - East Campus'!O412,'By Lot - East Campus'!O429,'By Lot - East Campus'!O446,'By Lot - East Campus'!O463,'By Lot - East Campus'!O480,'By Lot - East Campus'!O497)</f>
        <v>5</v>
      </c>
      <c r="N208" s="32">
        <f t="shared" si="70"/>
        <v>1</v>
      </c>
      <c r="O208" s="6">
        <f t="shared" si="71"/>
        <v>5</v>
      </c>
      <c r="P208" s="59">
        <f t="shared" si="72"/>
        <v>0.83333333333333337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1.25" customHeight="1" x14ac:dyDescent="0.4">
      <c r="A209" s="164"/>
      <c r="B209" s="17" t="s">
        <v>312</v>
      </c>
      <c r="C209" s="17">
        <f>SUM('By Structure'!C93,'By Structure'!C104,'By Structure'!C115,
'By Lot - East Campus'!E362,'By Lot - East Campus'!E379,'By Lot - East Campus'!E396,'By Lot - East Campus'!E413,'By Lot - East Campus'!E430,'By Lot - East Campus'!E447,'By Lot - East Campus'!E464,'By Lot - East Campus'!E481,'By Lot - East Campus'!E498)</f>
        <v>3</v>
      </c>
      <c r="D209" s="32">
        <f>SUM('By Structure'!D93,'By Structure'!D104,'By Structure'!D115,
'By Lot - East Campus'!F362,'By Lot - East Campus'!F379,'By Lot - East Campus'!F396,'By Lot - East Campus'!F413,'By Lot - East Campus'!F430,'By Lot - East Campus'!F447,'By Lot - East Campus'!F464,'By Lot - East Campus'!F481,'By Lot - East Campus'!F498)</f>
        <v>0</v>
      </c>
      <c r="E209" s="6">
        <f>SUM('By Structure'!E93,'By Structure'!E104,'By Structure'!E115,
'By Lot - East Campus'!G362,'By Lot - East Campus'!G379,'By Lot - East Campus'!G396,'By Lot - East Campus'!G413,'By Lot - East Campus'!G430,'By Lot - East Campus'!G447,'By Lot - East Campus'!G464,'By Lot - East Campus'!G481,'By Lot - East Campus'!G498)</f>
        <v>0</v>
      </c>
      <c r="F209" s="6">
        <f>SUM('By Structure'!F93,'By Structure'!F104,'By Structure'!F115,
'By Lot - East Campus'!H362,'By Lot - East Campus'!H379,'By Lot - East Campus'!H396,'By Lot - East Campus'!H413,'By Lot - East Campus'!H430,'By Lot - East Campus'!H447,'By Lot - East Campus'!H464,'By Lot - East Campus'!H481,'By Lot - East Campus'!H498)</f>
        <v>0</v>
      </c>
      <c r="G209" s="6">
        <f>SUM('By Structure'!G93,'By Structure'!G104,'By Structure'!G115,
'By Lot - East Campus'!I362,'By Lot - East Campus'!I379,'By Lot - East Campus'!I396,'By Lot - East Campus'!I413,'By Lot - East Campus'!I430,'By Lot - East Campus'!I447,'By Lot - East Campus'!I464,'By Lot - East Campus'!I481,'By Lot - East Campus'!I498)</f>
        <v>1</v>
      </c>
      <c r="H209" s="6">
        <f>SUM('By Structure'!H93,'By Structure'!H104,'By Structure'!H115,
'By Lot - East Campus'!J362,'By Lot - East Campus'!J379,'By Lot - East Campus'!J396,'By Lot - East Campus'!J413,'By Lot - East Campus'!J430,'By Lot - East Campus'!J447,'By Lot - East Campus'!J464,'By Lot - East Campus'!J481,'By Lot - East Campus'!J498)</f>
        <v>1</v>
      </c>
      <c r="I209" s="6">
        <f>SUM('By Structure'!I93,'By Structure'!I104,'By Structure'!I115,
'By Lot - East Campus'!K362,'By Lot - East Campus'!K379,'By Lot - East Campus'!K396,'By Lot - East Campus'!K413,'By Lot - East Campus'!K430,'By Lot - East Campus'!K447,'By Lot - East Campus'!K464,'By Lot - East Campus'!K481,'By Lot - East Campus'!K498)</f>
        <v>1</v>
      </c>
      <c r="J209" s="6">
        <f>SUM('By Structure'!J93,'By Structure'!J104,'By Structure'!J115,
'By Lot - East Campus'!L362,'By Lot - East Campus'!L379,'By Lot - East Campus'!L396,'By Lot - East Campus'!L413,'By Lot - East Campus'!L430,'By Lot - East Campus'!L447,'By Lot - East Campus'!L464,'By Lot - East Campus'!L481,'By Lot - East Campus'!L498)</f>
        <v>1</v>
      </c>
      <c r="K209" s="6">
        <f>SUM('By Structure'!K93,'By Structure'!K104,'By Structure'!K115,
'By Lot - East Campus'!M362,'By Lot - East Campus'!M379,'By Lot - East Campus'!M396,'By Lot - East Campus'!M413,'By Lot - East Campus'!M430,'By Lot - East Campus'!M447,'By Lot - East Campus'!M464,'By Lot - East Campus'!M481,'By Lot - East Campus'!M498)</f>
        <v>0</v>
      </c>
      <c r="L209" s="6">
        <f>SUM('By Structure'!L93,'By Structure'!L104,'By Structure'!L115,
'By Lot - East Campus'!N362,'By Lot - East Campus'!N379,'By Lot - East Campus'!N396,'By Lot - East Campus'!N413,'By Lot - East Campus'!N430,'By Lot - East Campus'!N447,'By Lot - East Campus'!N464,'By Lot - East Campus'!N481,'By Lot - East Campus'!N498)</f>
        <v>0</v>
      </c>
      <c r="M209" s="31">
        <f>SUM('By Structure'!M93,'By Structure'!M104,'By Structure'!M115,
'By Lot - East Campus'!O362,'By Lot - East Campus'!O379,'By Lot - East Campus'!O396,'By Lot - East Campus'!O413,'By Lot - East Campus'!O430,'By Lot - East Campus'!O447,'By Lot - East Campus'!O464,'By Lot - East Campus'!O481,'By Lot - East Campus'!O498)</f>
        <v>0</v>
      </c>
      <c r="N209" s="32">
        <f t="shared" si="70"/>
        <v>0</v>
      </c>
      <c r="O209" s="6">
        <f t="shared" si="71"/>
        <v>3</v>
      </c>
      <c r="P209" s="59">
        <f t="shared" si="72"/>
        <v>1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1.25" customHeight="1" x14ac:dyDescent="0.4">
      <c r="A210" s="164"/>
      <c r="B210" s="17" t="s">
        <v>313</v>
      </c>
      <c r="C210" s="17">
        <f>SUM('By Structure'!C94,'By Structure'!C105,'By Structure'!C116,
'By Lot - East Campus'!E363,'By Lot - East Campus'!E380,'By Lot - East Campus'!E397,'By Lot - East Campus'!E414,'By Lot - East Campus'!E431,'By Lot - East Campus'!E448,'By Lot - East Campus'!E465,'By Lot - East Campus'!E482,'By Lot - East Campus'!E499)</f>
        <v>9</v>
      </c>
      <c r="D210" s="32">
        <f>SUM('By Structure'!D94,'By Structure'!D105,'By Structure'!D116,
'By Lot - East Campus'!F363,'By Lot - East Campus'!F380,'By Lot - East Campus'!F397,'By Lot - East Campus'!F414,'By Lot - East Campus'!F431,'By Lot - East Campus'!F448,'By Lot - East Campus'!F465,'By Lot - East Campus'!F482,'By Lot - East Campus'!F499)</f>
        <v>5</v>
      </c>
      <c r="E210" s="6">
        <f>SUM('By Structure'!E94,'By Structure'!E105,'By Structure'!E116,
'By Lot - East Campus'!G363,'By Lot - East Campus'!G380,'By Lot - East Campus'!G397,'By Lot - East Campus'!G414,'By Lot - East Campus'!G431,'By Lot - East Campus'!G448,'By Lot - East Campus'!G465,'By Lot - East Campus'!G482,'By Lot - East Campus'!G499)</f>
        <v>5</v>
      </c>
      <c r="F210" s="6">
        <f>SUM('By Structure'!F94,'By Structure'!F105,'By Structure'!F116,
'By Lot - East Campus'!H363,'By Lot - East Campus'!H380,'By Lot - East Campus'!H397,'By Lot - East Campus'!H414,'By Lot - East Campus'!H431,'By Lot - East Campus'!H448,'By Lot - East Campus'!H465,'By Lot - East Campus'!H482,'By Lot - East Campus'!H499)</f>
        <v>2</v>
      </c>
      <c r="G210" s="6">
        <f>SUM('By Structure'!G94,'By Structure'!G105,'By Structure'!G116,
'By Lot - East Campus'!I363,'By Lot - East Campus'!I380,'By Lot - East Campus'!I397,'By Lot - East Campus'!I414,'By Lot - East Campus'!I431,'By Lot - East Campus'!I448,'By Lot - East Campus'!I465,'By Lot - East Campus'!I482,'By Lot - East Campus'!I499)</f>
        <v>3</v>
      </c>
      <c r="H210" s="6">
        <f>SUM('By Structure'!H94,'By Structure'!H105,'By Structure'!H116,
'By Lot - East Campus'!J363,'By Lot - East Campus'!J380,'By Lot - East Campus'!J397,'By Lot - East Campus'!J414,'By Lot - East Campus'!J431,'By Lot - East Campus'!J448,'By Lot - East Campus'!J465,'By Lot - East Campus'!J482,'By Lot - East Campus'!J499)</f>
        <v>3</v>
      </c>
      <c r="I210" s="6">
        <f>SUM('By Structure'!I94,'By Structure'!I105,'By Structure'!I116,
'By Lot - East Campus'!K363,'By Lot - East Campus'!K380,'By Lot - East Campus'!K397,'By Lot - East Campus'!K414,'By Lot - East Campus'!K431,'By Lot - East Campus'!K448,'By Lot - East Campus'!K465,'By Lot - East Campus'!K482,'By Lot - East Campus'!K499)</f>
        <v>6</v>
      </c>
      <c r="J210" s="6">
        <f>SUM('By Structure'!J94,'By Structure'!J105,'By Structure'!J116,
'By Lot - East Campus'!L363,'By Lot - East Campus'!L380,'By Lot - East Campus'!L397,'By Lot - East Campus'!L414,'By Lot - East Campus'!L431,'By Lot - East Campus'!L448,'By Lot - East Campus'!L465,'By Lot - East Campus'!L482,'By Lot - East Campus'!L499)</f>
        <v>6</v>
      </c>
      <c r="K210" s="6">
        <f>SUM('By Structure'!K94,'By Structure'!K105,'By Structure'!K116,
'By Lot - East Campus'!M363,'By Lot - East Campus'!M380,'By Lot - East Campus'!M397,'By Lot - East Campus'!M414,'By Lot - East Campus'!M431,'By Lot - East Campus'!M448,'By Lot - East Campus'!M465,'By Lot - East Campus'!M482,'By Lot - East Campus'!M499)</f>
        <v>1</v>
      </c>
      <c r="L210" s="6">
        <f>SUM('By Structure'!L94,'By Structure'!L105,'By Structure'!L116,
'By Lot - East Campus'!N363,'By Lot - East Campus'!N380,'By Lot - East Campus'!N397,'By Lot - East Campus'!N414,'By Lot - East Campus'!N431,'By Lot - East Campus'!N448,'By Lot - East Campus'!N465,'By Lot - East Campus'!N482,'By Lot - East Campus'!N499)</f>
        <v>3</v>
      </c>
      <c r="M210" s="31">
        <f>SUM('By Structure'!M94,'By Structure'!M105,'By Structure'!M116,
'By Lot - East Campus'!O363,'By Lot - East Campus'!O380,'By Lot - East Campus'!O397,'By Lot - East Campus'!O414,'By Lot - East Campus'!O431,'By Lot - East Campus'!O448,'By Lot - East Campus'!O465,'By Lot - East Campus'!O482,'By Lot - East Campus'!O499)</f>
        <v>6</v>
      </c>
      <c r="N210" s="32">
        <f t="shared" si="70"/>
        <v>1</v>
      </c>
      <c r="O210" s="6">
        <f t="shared" si="71"/>
        <v>8</v>
      </c>
      <c r="P210" s="59">
        <f t="shared" si="72"/>
        <v>0.88888888888888884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1.25" customHeight="1" x14ac:dyDescent="0.4">
      <c r="A211" s="165"/>
      <c r="B211" s="65" t="s">
        <v>314</v>
      </c>
      <c r="C211" s="65">
        <f t="shared" ref="C211:M211" si="73">SUM(C201:C210)</f>
        <v>3261</v>
      </c>
      <c r="D211" s="104">
        <f t="shared" si="73"/>
        <v>1378</v>
      </c>
      <c r="E211" s="128">
        <f t="shared" si="73"/>
        <v>912</v>
      </c>
      <c r="F211" s="128">
        <f t="shared" si="73"/>
        <v>729</v>
      </c>
      <c r="G211" s="128">
        <f t="shared" si="73"/>
        <v>631</v>
      </c>
      <c r="H211" s="128">
        <f t="shared" si="73"/>
        <v>708</v>
      </c>
      <c r="I211" s="128">
        <f t="shared" si="73"/>
        <v>646</v>
      </c>
      <c r="J211" s="128">
        <f t="shared" si="73"/>
        <v>571</v>
      </c>
      <c r="K211" s="128">
        <f t="shared" si="73"/>
        <v>708</v>
      </c>
      <c r="L211" s="128">
        <f t="shared" si="73"/>
        <v>1057</v>
      </c>
      <c r="M211" s="129">
        <f t="shared" si="73"/>
        <v>1137</v>
      </c>
      <c r="N211" s="104">
        <f t="shared" si="70"/>
        <v>571</v>
      </c>
      <c r="O211" s="128">
        <f t="shared" si="71"/>
        <v>2690</v>
      </c>
      <c r="P211" s="72">
        <f t="shared" si="72"/>
        <v>0.82490033731984058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1.25" customHeight="1" x14ac:dyDescent="0.4">
      <c r="A212" s="15" t="s">
        <v>28</v>
      </c>
      <c r="B212" s="17" t="s">
        <v>300</v>
      </c>
      <c r="C212" s="17"/>
      <c r="D212" s="32"/>
      <c r="E212" s="6"/>
      <c r="F212" s="6"/>
      <c r="G212" s="6"/>
      <c r="H212" s="6"/>
      <c r="I212" s="6"/>
      <c r="J212" s="6"/>
      <c r="K212" s="6"/>
      <c r="L212" s="6"/>
      <c r="M212" s="31"/>
      <c r="N212" s="32"/>
      <c r="O212" s="6"/>
      <c r="P212" s="59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1.25" customHeight="1" x14ac:dyDescent="0.4">
      <c r="A213" s="17" t="s">
        <v>36</v>
      </c>
      <c r="B213" s="17" t="s">
        <v>301</v>
      </c>
      <c r="C213" s="17">
        <f>SUM('By Lot - East Campus'!E502,'By Lot - East Campus'!E519,'By Lot - East Campus'!E536,'By Structure'!C119)</f>
        <v>923</v>
      </c>
      <c r="D213" s="32">
        <f>SUM('By Lot - East Campus'!F502,'By Lot - East Campus'!F519,'By Lot - East Campus'!F536,'By Structure'!D119)</f>
        <v>278</v>
      </c>
      <c r="E213" s="6">
        <f>SUM('By Lot - East Campus'!G502,'By Lot - East Campus'!G519,'By Lot - East Campus'!G536,'By Structure'!E119)</f>
        <v>271</v>
      </c>
      <c r="F213" s="6">
        <f>SUM('By Lot - East Campus'!H502,'By Lot - East Campus'!H519,'By Lot - East Campus'!H536,'By Structure'!F119)</f>
        <v>241</v>
      </c>
      <c r="G213" s="6">
        <f>SUM('By Lot - East Campus'!I502,'By Lot - East Campus'!I519,'By Lot - East Campus'!I536,'By Structure'!G119)</f>
        <v>236</v>
      </c>
      <c r="H213" s="6">
        <f>SUM('By Lot - East Campus'!J502,'By Lot - East Campus'!J519,'By Lot - East Campus'!J536,'By Structure'!H119)</f>
        <v>247</v>
      </c>
      <c r="I213" s="6">
        <f>SUM('By Lot - East Campus'!K502,'By Lot - East Campus'!K519,'By Lot - East Campus'!K536,'By Structure'!I119)</f>
        <v>228</v>
      </c>
      <c r="J213" s="6">
        <f>SUM('By Lot - East Campus'!L502,'By Lot - East Campus'!L519,'By Lot - East Campus'!L536,'By Structure'!J119)</f>
        <v>237</v>
      </c>
      <c r="K213" s="6">
        <f>SUM('By Lot - East Campus'!M502,'By Lot - East Campus'!M519,'By Lot - East Campus'!M536,'By Structure'!K119)</f>
        <v>264</v>
      </c>
      <c r="L213" s="6">
        <f>SUM('By Lot - East Campus'!N502,'By Lot - East Campus'!N519,'By Lot - East Campus'!N536,'By Structure'!L119)</f>
        <v>380</v>
      </c>
      <c r="M213" s="31">
        <f>SUM('By Lot - East Campus'!O502,'By Lot - East Campus'!O519,'By Lot - East Campus'!O536,'By Structure'!M119)</f>
        <v>481</v>
      </c>
      <c r="N213" s="32">
        <f>MIN(D213:M213)</f>
        <v>228</v>
      </c>
      <c r="O213" s="6">
        <f>C213-N213</f>
        <v>695</v>
      </c>
      <c r="P213" s="59">
        <f>O213/C213</f>
        <v>0.75297941495124598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1.25" customHeight="1" x14ac:dyDescent="0.4">
      <c r="A214" s="17" t="s">
        <v>44</v>
      </c>
      <c r="B214" s="33" t="s">
        <v>345</v>
      </c>
      <c r="C214" s="33">
        <f>SUM('By Lot - East Campus'!E503)</f>
        <v>0</v>
      </c>
      <c r="D214" s="166"/>
      <c r="E214" s="167" t="s">
        <v>348</v>
      </c>
      <c r="F214" s="167"/>
      <c r="G214" s="167"/>
      <c r="H214" s="167"/>
      <c r="I214" s="167"/>
      <c r="J214" s="167"/>
      <c r="K214" s="167"/>
      <c r="L214" s="167"/>
      <c r="M214" s="168"/>
      <c r="N214" s="166"/>
      <c r="O214" s="167"/>
      <c r="P214" s="169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1.25" customHeight="1" x14ac:dyDescent="0.4">
      <c r="A215" s="27"/>
      <c r="B215" s="17" t="s">
        <v>307</v>
      </c>
      <c r="C215" s="17"/>
      <c r="D215" s="32"/>
      <c r="E215" s="6"/>
      <c r="F215" s="6"/>
      <c r="G215" s="6"/>
      <c r="H215" s="6"/>
      <c r="I215" s="6"/>
      <c r="J215" s="6"/>
      <c r="K215" s="6"/>
      <c r="L215" s="6"/>
      <c r="M215" s="31"/>
      <c r="N215" s="32"/>
      <c r="O215" s="6"/>
      <c r="P215" s="59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1.25" customHeight="1" x14ac:dyDescent="0.4">
      <c r="A216" s="27"/>
      <c r="B216" s="17" t="s">
        <v>308</v>
      </c>
      <c r="C216" s="17"/>
      <c r="D216" s="32"/>
      <c r="E216" s="6"/>
      <c r="F216" s="6"/>
      <c r="G216" s="6"/>
      <c r="H216" s="6"/>
      <c r="I216" s="6"/>
      <c r="J216" s="6"/>
      <c r="K216" s="6"/>
      <c r="L216" s="6"/>
      <c r="M216" s="31"/>
      <c r="N216" s="32"/>
      <c r="O216" s="6"/>
      <c r="P216" s="59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1.25" customHeight="1" x14ac:dyDescent="0.4">
      <c r="A217" s="27"/>
      <c r="B217" s="17" t="s">
        <v>309</v>
      </c>
      <c r="C217" s="17">
        <f>SUM('By Lot - East Campus'!E507:E512,'By Lot - East Campus'!E524:E529,'By Lot - East Campus'!E541:E546,'By Structure'!C123)</f>
        <v>56</v>
      </c>
      <c r="D217" s="32">
        <f>SUM('By Lot - East Campus'!F507:F512,'By Lot - East Campus'!F524:F529,'By Lot - East Campus'!F541:F546,'By Structure'!D123)</f>
        <v>29</v>
      </c>
      <c r="E217" s="6">
        <f>SUM('By Lot - East Campus'!G507:G512,'By Lot - East Campus'!G524:G529,'By Lot - East Campus'!G541:G546,'By Structure'!E123)</f>
        <v>28</v>
      </c>
      <c r="F217" s="6">
        <f>SUM('By Lot - East Campus'!H507:H512,'By Lot - East Campus'!H524:H529,'By Lot - East Campus'!H541:H546,'By Structure'!F123)</f>
        <v>26</v>
      </c>
      <c r="G217" s="6">
        <f>SUM('By Lot - East Campus'!I507:I512,'By Lot - East Campus'!I524:I529,'By Lot - East Campus'!I541:I546,'By Structure'!G123)</f>
        <v>27</v>
      </c>
      <c r="H217" s="6">
        <f>SUM('By Lot - East Campus'!J507:J512,'By Lot - East Campus'!J524:J529,'By Lot - East Campus'!J541:J546,'By Structure'!H123)</f>
        <v>20</v>
      </c>
      <c r="I217" s="6">
        <f>SUM('By Lot - East Campus'!K507:K512,'By Lot - East Campus'!K524:K529,'By Lot - East Campus'!K541:K546,'By Structure'!I123)</f>
        <v>17</v>
      </c>
      <c r="J217" s="6">
        <f>SUM('By Lot - East Campus'!L507:L512,'By Lot - East Campus'!L524:L529,'By Lot - East Campus'!L541:L546,'By Structure'!J123)</f>
        <v>19</v>
      </c>
      <c r="K217" s="6">
        <f>SUM('By Lot - East Campus'!M507:M512,'By Lot - East Campus'!M524:M529,'By Lot - East Campus'!M541:M546,'By Structure'!K123)</f>
        <v>19</v>
      </c>
      <c r="L217" s="6">
        <f>SUM('By Lot - East Campus'!N507:N512,'By Lot - East Campus'!N524:N529,'By Lot - East Campus'!N541:N546,'By Structure'!L123)</f>
        <v>21</v>
      </c>
      <c r="M217" s="31">
        <f>SUM('By Lot - East Campus'!O507:O512,'By Lot - East Campus'!O524:O529,'By Lot - East Campus'!O541:O546,'By Structure'!M123)</f>
        <v>24</v>
      </c>
      <c r="N217" s="32">
        <f t="shared" ref="N217:N218" si="74">MIN(D217:M217)</f>
        <v>17</v>
      </c>
      <c r="O217" s="6">
        <f t="shared" ref="O217:O218" si="75">C217-N217</f>
        <v>39</v>
      </c>
      <c r="P217" s="59">
        <v>0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1.25" customHeight="1" x14ac:dyDescent="0.4">
      <c r="A218" s="17"/>
      <c r="B218" s="17" t="s">
        <v>310</v>
      </c>
      <c r="C218" s="17">
        <f>SUM('By Lot - East Campus'!E513,'By Lot - East Campus'!E530,'By Lot - East Campus'!E547,'By Structure'!C124)</f>
        <v>45</v>
      </c>
      <c r="D218" s="32">
        <f>SUM('By Lot - East Campus'!F513,'By Lot - East Campus'!F530,'By Lot - East Campus'!F547,'By Structure'!D124)</f>
        <v>28</v>
      </c>
      <c r="E218" s="6">
        <f>SUM('By Lot - East Campus'!G513,'By Lot - East Campus'!G530,'By Lot - East Campus'!G547,'By Structure'!E124)</f>
        <v>29</v>
      </c>
      <c r="F218" s="6">
        <f>SUM('By Lot - East Campus'!H513,'By Lot - East Campus'!H530,'By Lot - East Campus'!H547,'By Structure'!F124)</f>
        <v>24</v>
      </c>
      <c r="G218" s="6">
        <f>SUM('By Lot - East Campus'!I513,'By Lot - East Campus'!I530,'By Lot - East Campus'!I547,'By Structure'!G124)</f>
        <v>25</v>
      </c>
      <c r="H218" s="6">
        <f>SUM('By Lot - East Campus'!J513,'By Lot - East Campus'!J530,'By Lot - East Campus'!J547,'By Structure'!H124)</f>
        <v>27</v>
      </c>
      <c r="I218" s="6">
        <f>SUM('By Lot - East Campus'!K513,'By Lot - East Campus'!K530,'By Lot - East Campus'!K547,'By Structure'!I124)</f>
        <v>28</v>
      </c>
      <c r="J218" s="6">
        <f>SUM('By Lot - East Campus'!L513,'By Lot - East Campus'!L530,'By Lot - East Campus'!L547,'By Structure'!J124)</f>
        <v>26</v>
      </c>
      <c r="K218" s="6">
        <f>SUM('By Lot - East Campus'!M513,'By Lot - East Campus'!M530,'By Lot - East Campus'!M547,'By Structure'!K124)</f>
        <v>22</v>
      </c>
      <c r="L218" s="6">
        <f>SUM('By Lot - East Campus'!N513,'By Lot - East Campus'!N530,'By Lot - East Campus'!N547,'By Structure'!L124)</f>
        <v>30</v>
      </c>
      <c r="M218" s="31">
        <f>SUM('By Lot - East Campus'!O513,'By Lot - East Campus'!O530,'By Lot - East Campus'!O547,'By Structure'!M124)</f>
        <v>34</v>
      </c>
      <c r="N218" s="32">
        <f t="shared" si="74"/>
        <v>22</v>
      </c>
      <c r="O218" s="6">
        <f t="shared" si="75"/>
        <v>23</v>
      </c>
      <c r="P218" s="59">
        <f>O218/C218</f>
        <v>0.51111111111111107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.25" customHeight="1" x14ac:dyDescent="0.4">
      <c r="A219" s="17"/>
      <c r="B219" s="17" t="s">
        <v>311</v>
      </c>
      <c r="C219" s="17"/>
      <c r="D219" s="32"/>
      <c r="E219" s="6"/>
      <c r="F219" s="6"/>
      <c r="G219" s="6"/>
      <c r="H219" s="6"/>
      <c r="I219" s="6"/>
      <c r="J219" s="6"/>
      <c r="K219" s="6"/>
      <c r="L219" s="6"/>
      <c r="M219" s="31"/>
      <c r="N219" s="32"/>
      <c r="O219" s="6"/>
      <c r="P219" s="59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1.25" customHeight="1" x14ac:dyDescent="0.4">
      <c r="A220" s="17"/>
      <c r="B220" s="17" t="s">
        <v>312</v>
      </c>
      <c r="C220" s="17"/>
      <c r="D220" s="32"/>
      <c r="E220" s="6"/>
      <c r="F220" s="6"/>
      <c r="G220" s="6"/>
      <c r="H220" s="6"/>
      <c r="I220" s="6"/>
      <c r="J220" s="6"/>
      <c r="K220" s="6"/>
      <c r="L220" s="6"/>
      <c r="M220" s="31"/>
      <c r="N220" s="32"/>
      <c r="O220" s="6"/>
      <c r="P220" s="59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1.25" customHeight="1" x14ac:dyDescent="0.4">
      <c r="A221" s="17"/>
      <c r="B221" s="17" t="s">
        <v>313</v>
      </c>
      <c r="C221" s="17"/>
      <c r="D221" s="32"/>
      <c r="E221" s="6"/>
      <c r="F221" s="6"/>
      <c r="G221" s="6"/>
      <c r="H221" s="6"/>
      <c r="I221" s="6"/>
      <c r="J221" s="6"/>
      <c r="K221" s="6"/>
      <c r="L221" s="6"/>
      <c r="M221" s="31"/>
      <c r="N221" s="32"/>
      <c r="O221" s="6"/>
      <c r="P221" s="59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1.25" customHeight="1" x14ac:dyDescent="0.4">
      <c r="A222" s="34"/>
      <c r="B222" s="65" t="s">
        <v>314</v>
      </c>
      <c r="C222" s="65">
        <f t="shared" ref="C222:M222" si="76">SUM(C212:C221)</f>
        <v>1024</v>
      </c>
      <c r="D222" s="104">
        <f t="shared" si="76"/>
        <v>335</v>
      </c>
      <c r="E222" s="128">
        <f t="shared" si="76"/>
        <v>328</v>
      </c>
      <c r="F222" s="128">
        <f t="shared" si="76"/>
        <v>291</v>
      </c>
      <c r="G222" s="128">
        <f t="shared" si="76"/>
        <v>288</v>
      </c>
      <c r="H222" s="128">
        <f t="shared" si="76"/>
        <v>294</v>
      </c>
      <c r="I222" s="128">
        <f t="shared" si="76"/>
        <v>273</v>
      </c>
      <c r="J222" s="128">
        <f t="shared" si="76"/>
        <v>282</v>
      </c>
      <c r="K222" s="128">
        <f t="shared" si="76"/>
        <v>305</v>
      </c>
      <c r="L222" s="128">
        <f t="shared" si="76"/>
        <v>431</v>
      </c>
      <c r="M222" s="129">
        <f t="shared" si="76"/>
        <v>539</v>
      </c>
      <c r="N222" s="104">
        <f t="shared" ref="N222:N224" si="77">MIN(D222:M222)</f>
        <v>273</v>
      </c>
      <c r="O222" s="128">
        <f t="shared" ref="O222:O224" si="78">C222-N222</f>
        <v>751</v>
      </c>
      <c r="P222" s="72">
        <f t="shared" ref="P222:P224" si="79">O222/C222</f>
        <v>0.7333984375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1.25" customHeight="1" x14ac:dyDescent="0.4">
      <c r="A223" s="55" t="s">
        <v>10</v>
      </c>
      <c r="B223" s="121" t="s">
        <v>300</v>
      </c>
      <c r="C223" s="78">
        <f>SUM('By Structure'!C129,'By Structure'!C140,'By Structure'!C151,
'By Lot - Hillcrest'!E467,'By Lot - Hillcrest'!E484,'By Lot - Hillcrest'!E501,'By Lot - Hillcrest'!E518,'By Lot - Hillcrest'!E535,'By Lot - Hillcrest'!E552,'By Lot - Hillcrest'!E567,'By Lot - Hillcrest'!E578,'By Lot - Hillcrest'!E595,'By Lot - Hillcrest'!E612)</f>
        <v>240</v>
      </c>
      <c r="D223" s="79">
        <f>SUM('By Lot - Hillcrest'!F161,'By Lot - Hillcrest'!F178,'By Lot - Hillcrest'!F195,'By Lot - Hillcrest'!F212,'By Lot - Hillcrest'!F229,'By Lot - Hillcrest'!F450,'By Lot - Hillcrest'!F518,'By Lot - Hillcrest'!F535,'By Lot - Hillcrest'!F552)</f>
        <v>115</v>
      </c>
      <c r="E223" s="79">
        <f>SUM('By Lot - Hillcrest'!G161,'By Lot - Hillcrest'!G178,'By Lot - Hillcrest'!G195,'By Lot - Hillcrest'!G212,'By Lot - Hillcrest'!G229,'By Lot - Hillcrest'!G450,'By Lot - Hillcrest'!G518,'By Lot - Hillcrest'!G535,'By Lot - Hillcrest'!G552)</f>
        <v>55</v>
      </c>
      <c r="F223" s="79">
        <f>SUM('By Lot - Hillcrest'!H161,'By Lot - Hillcrest'!H178,'By Lot - Hillcrest'!H195,'By Lot - Hillcrest'!H212,'By Lot - Hillcrest'!H229,'By Lot - Hillcrest'!H450,'By Lot - Hillcrest'!H518,'By Lot - Hillcrest'!H535,'By Lot - Hillcrest'!H552)</f>
        <v>39</v>
      </c>
      <c r="G223" s="79">
        <f>SUM('By Lot - Hillcrest'!I161,'By Lot - Hillcrest'!I178,'By Lot - Hillcrest'!I195,'By Lot - Hillcrest'!I212,'By Lot - Hillcrest'!I229,'By Lot - Hillcrest'!I450,'By Lot - Hillcrest'!I518,'By Lot - Hillcrest'!I535,'By Lot - Hillcrest'!I552)</f>
        <v>34</v>
      </c>
      <c r="H223" s="79">
        <f>SUM('By Lot - Hillcrest'!J161,'By Lot - Hillcrest'!J178,'By Lot - Hillcrest'!J195,'By Lot - Hillcrest'!J212,'By Lot - Hillcrest'!J229,'By Lot - Hillcrest'!J450,'By Lot - Hillcrest'!J518,'By Lot - Hillcrest'!J535,'By Lot - Hillcrest'!J552)</f>
        <v>40</v>
      </c>
      <c r="I223" s="79">
        <f>SUM('By Lot - Hillcrest'!K161,'By Lot - Hillcrest'!K178,'By Lot - Hillcrest'!K195,'By Lot - Hillcrest'!K212,'By Lot - Hillcrest'!K229,'By Lot - Hillcrest'!K450,'By Lot - Hillcrest'!K518,'By Lot - Hillcrest'!K535,'By Lot - Hillcrest'!K552)</f>
        <v>27</v>
      </c>
      <c r="J223" s="79">
        <f>SUM('By Lot - Hillcrest'!L161,'By Lot - Hillcrest'!L178,'By Lot - Hillcrest'!L195,'By Lot - Hillcrest'!L212,'By Lot - Hillcrest'!L229,'By Lot - Hillcrest'!L450,'By Lot - Hillcrest'!L518,'By Lot - Hillcrest'!L535,'By Lot - Hillcrest'!L552)</f>
        <v>33</v>
      </c>
      <c r="K223" s="79">
        <f>SUM('By Lot - Hillcrest'!M161,'By Lot - Hillcrest'!M178,'By Lot - Hillcrest'!M195,'By Lot - Hillcrest'!M212,'By Lot - Hillcrest'!M229,'By Lot - Hillcrest'!M450,'By Lot - Hillcrest'!M518,'By Lot - Hillcrest'!M535,'By Lot - Hillcrest'!M552)</f>
        <v>47</v>
      </c>
      <c r="L223" s="79">
        <f>SUM('By Lot - Hillcrest'!N161,'By Lot - Hillcrest'!N178,'By Lot - Hillcrest'!N195,'By Lot - Hillcrest'!N212,'By Lot - Hillcrest'!N229,'By Lot - Hillcrest'!N450,'By Lot - Hillcrest'!N518,'By Lot - Hillcrest'!N535,'By Lot - Hillcrest'!N552)</f>
        <v>68</v>
      </c>
      <c r="M223" s="60">
        <f>SUM('By Lot - Hillcrest'!O161,'By Lot - Hillcrest'!O178,'By Lot - Hillcrest'!O195,'By Lot - Hillcrest'!O212,'By Lot - Hillcrest'!O229,'By Lot - Hillcrest'!O450,'By Lot - Hillcrest'!O518,'By Lot - Hillcrest'!O535,'By Lot - Hillcrest'!O552)</f>
        <v>116</v>
      </c>
      <c r="N223" s="80">
        <f t="shared" si="77"/>
        <v>27</v>
      </c>
      <c r="O223" s="79">
        <f t="shared" si="78"/>
        <v>213</v>
      </c>
      <c r="P223" s="81">
        <f t="shared" si="79"/>
        <v>0.88749999999999996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1.25" customHeight="1" x14ac:dyDescent="0.4">
      <c r="A224" s="54" t="s">
        <v>12</v>
      </c>
      <c r="B224" s="54" t="s">
        <v>301</v>
      </c>
      <c r="C224" s="82">
        <f>SUM('By Structure'!C130,'By Structure'!C141,'By Structure'!C152,
'By Lot - Hillcrest'!E468,'By Lot - Hillcrest'!E485,'By Lot - Hillcrest'!E502,'By Lot - Hillcrest'!E519,'By Lot - Hillcrest'!E536,'By Lot - Hillcrest'!E553,'By Lot - Hillcrest'!E568,'By Lot - Hillcrest'!E579,'By Lot - Hillcrest'!E596,'By Lot - Hillcrest'!E613)</f>
        <v>1087</v>
      </c>
      <c r="D224" s="74">
        <f>SUM('By Structure'!D130,'By Structure'!D141,'By Structure'!D152,
'By Lot - Hillcrest'!F468,'By Lot - Hillcrest'!F485,'By Lot - Hillcrest'!F502,'By Lot - Hillcrest'!F519,'By Lot - Hillcrest'!F536,'By Lot - Hillcrest'!F553,'By Lot - Hillcrest'!F568,'By Lot - Hillcrest'!F579,'By Lot - Hillcrest'!F596,'By Lot - Hillcrest'!F613)</f>
        <v>343</v>
      </c>
      <c r="E224" s="74">
        <f>SUM('By Structure'!E130,'By Structure'!E141,'By Structure'!E152,
'By Lot - Hillcrest'!G468,'By Lot - Hillcrest'!G485,'By Lot - Hillcrest'!G502,'By Lot - Hillcrest'!G519,'By Lot - Hillcrest'!G536,'By Lot - Hillcrest'!G553,'By Lot - Hillcrest'!G568,'By Lot - Hillcrest'!G579,'By Lot - Hillcrest'!G596,'By Lot - Hillcrest'!G613)</f>
        <v>234</v>
      </c>
      <c r="F224" s="74">
        <f>SUM('By Structure'!F130,'By Structure'!F141,'By Structure'!F152,
'By Lot - Hillcrest'!H468,'By Lot - Hillcrest'!H485,'By Lot - Hillcrest'!H502,'By Lot - Hillcrest'!H519,'By Lot - Hillcrest'!H536,'By Lot - Hillcrest'!H553,'By Lot - Hillcrest'!H568,'By Lot - Hillcrest'!H579,'By Lot - Hillcrest'!H596,'By Lot - Hillcrest'!H613)</f>
        <v>179</v>
      </c>
      <c r="G224" s="74">
        <f>SUM('By Structure'!G130,'By Structure'!G141,'By Structure'!G152,
'By Lot - Hillcrest'!I468,'By Lot - Hillcrest'!I485,'By Lot - Hillcrest'!I502,'By Lot - Hillcrest'!I519,'By Lot - Hillcrest'!I536,'By Lot - Hillcrest'!I553,'By Lot - Hillcrest'!I568,'By Lot - Hillcrest'!I579,'By Lot - Hillcrest'!I596,'By Lot - Hillcrest'!I613)</f>
        <v>185</v>
      </c>
      <c r="H224" s="74">
        <f>SUM('By Structure'!H130,'By Structure'!H141,'By Structure'!H152,
'By Lot - Hillcrest'!J468,'By Lot - Hillcrest'!J485,'By Lot - Hillcrest'!J502,'By Lot - Hillcrest'!J519,'By Lot - Hillcrest'!J536,'By Lot - Hillcrest'!J553,'By Lot - Hillcrest'!J568,'By Lot - Hillcrest'!J579,'By Lot - Hillcrest'!J596,'By Lot - Hillcrest'!J613)</f>
        <v>196</v>
      </c>
      <c r="I224" s="74">
        <f>SUM('By Structure'!I130,'By Structure'!I141,'By Structure'!I152,
'By Lot - Hillcrest'!K468,'By Lot - Hillcrest'!K485,'By Lot - Hillcrest'!K502,'By Lot - Hillcrest'!K519,'By Lot - Hillcrest'!K536,'By Lot - Hillcrest'!K553,'By Lot - Hillcrest'!K568,'By Lot - Hillcrest'!K579,'By Lot - Hillcrest'!K596,'By Lot - Hillcrest'!K613)</f>
        <v>204</v>
      </c>
      <c r="J224" s="74">
        <f>SUM('By Structure'!J130,'By Structure'!J141,'By Structure'!J152,
'By Lot - Hillcrest'!L468,'By Lot - Hillcrest'!L485,'By Lot - Hillcrest'!L502,'By Lot - Hillcrest'!L519,'By Lot - Hillcrest'!L536,'By Lot - Hillcrest'!L553,'By Lot - Hillcrest'!L568,'By Lot - Hillcrest'!L579,'By Lot - Hillcrest'!L596,'By Lot - Hillcrest'!L613)</f>
        <v>207</v>
      </c>
      <c r="K224" s="74">
        <f>SUM('By Structure'!K130,'By Structure'!K141,'By Structure'!K152,
'By Lot - Hillcrest'!M468,'By Lot - Hillcrest'!M485,'By Lot - Hillcrest'!M502,'By Lot - Hillcrest'!M519,'By Lot - Hillcrest'!M536,'By Lot - Hillcrest'!M553,'By Lot - Hillcrest'!M568,'By Lot - Hillcrest'!M579,'By Lot - Hillcrest'!M596,'By Lot - Hillcrest'!M613)</f>
        <v>279</v>
      </c>
      <c r="L224" s="74">
        <f>SUM('By Structure'!L130,'By Structure'!L141,'By Structure'!L152,
'By Lot - Hillcrest'!N468,'By Lot - Hillcrest'!N485,'By Lot - Hillcrest'!N502,'By Lot - Hillcrest'!N519,'By Lot - Hillcrest'!N536,'By Lot - Hillcrest'!N553,'By Lot - Hillcrest'!N568,'By Lot - Hillcrest'!N579,'By Lot - Hillcrest'!N596,'By Lot - Hillcrest'!N613)</f>
        <v>473</v>
      </c>
      <c r="M224" s="31">
        <f>SUM('By Structure'!M130,'By Structure'!M141,'By Structure'!M152,
'By Lot - Hillcrest'!O468,'By Lot - Hillcrest'!O485,'By Lot - Hillcrest'!O502,'By Lot - Hillcrest'!O519,'By Lot - Hillcrest'!O536,'By Lot - Hillcrest'!O553,'By Lot - Hillcrest'!O568,'By Lot - Hillcrest'!O579,'By Lot - Hillcrest'!O596,'By Lot - Hillcrest'!O613)</f>
        <v>619</v>
      </c>
      <c r="N224" s="83">
        <f t="shared" si="77"/>
        <v>179</v>
      </c>
      <c r="O224" s="74">
        <f t="shared" si="78"/>
        <v>908</v>
      </c>
      <c r="P224" s="75">
        <f t="shared" si="79"/>
        <v>0.83532658693652251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1.25" customHeight="1" x14ac:dyDescent="0.4">
      <c r="A225" s="54" t="s">
        <v>5</v>
      </c>
      <c r="B225" s="27" t="s">
        <v>303</v>
      </c>
      <c r="C225" s="27"/>
      <c r="D225" s="84"/>
      <c r="E225" s="84"/>
      <c r="F225" s="84"/>
      <c r="G225" s="84"/>
      <c r="H225" s="84"/>
      <c r="I225" s="84"/>
      <c r="J225" s="84"/>
      <c r="K225" s="84"/>
      <c r="L225" s="84"/>
      <c r="M225" s="31"/>
      <c r="N225" s="170"/>
      <c r="O225" s="84"/>
      <c r="P225" s="85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1.25" customHeight="1" x14ac:dyDescent="0.4">
      <c r="A226" s="110" t="s">
        <v>349</v>
      </c>
      <c r="B226" s="171" t="s">
        <v>307</v>
      </c>
      <c r="C226" s="172">
        <f>SUM('By Structure'!C132,'By Structure'!C143,'By Structure'!C154,'By Lot - Hillcrest'!E470:E471,'By Lot - Hillcrest'!E487:E488,'By Lot - Hillcrest'!E504:E505,'By Lot - Hillcrest'!E521:E522,'By Lot - Hillcrest'!E538:E539,'By Lot - Hillcrest'!E555:E556,'By Lot - Hillcrest'!E570,'By Lot - Hillcrest'!E581:E582,'By Lot - Hillcrest'!E598:E599,'By Lot - Hillcrest'!E615:E616)</f>
        <v>241</v>
      </c>
      <c r="D226" s="173">
        <f>SUM('By Structure'!D132,'By Structure'!D143,'By Structure'!D154,'By Lot - Hillcrest'!F470:F471,'By Lot - Hillcrest'!F487:F488,'By Lot - Hillcrest'!F504:F505,'By Lot - Hillcrest'!F521:F522,'By Lot - Hillcrest'!F538:F539,'By Lot - Hillcrest'!F555:F556,'By Lot - Hillcrest'!F570,'By Lot - Hillcrest'!F581:F582,'By Lot - Hillcrest'!F598:F599,'By Lot - Hillcrest'!F615:F616)</f>
        <v>97</v>
      </c>
      <c r="E226" s="173">
        <f>SUM('By Structure'!E132,'By Structure'!E143,'By Structure'!E154,'By Lot - Hillcrest'!G470:G471,'By Lot - Hillcrest'!G487:G488,'By Lot - Hillcrest'!G504:G505,'By Lot - Hillcrest'!G521:G522,'By Lot - Hillcrest'!G538:G539,'By Lot - Hillcrest'!G555:G556,'By Lot - Hillcrest'!G570,'By Lot - Hillcrest'!G581:G582,'By Lot - Hillcrest'!G598:G599,'By Lot - Hillcrest'!G615:G616)</f>
        <v>50</v>
      </c>
      <c r="F226" s="173">
        <f>SUM('By Structure'!F132,'By Structure'!F143,'By Structure'!F154,'By Lot - Hillcrest'!H470:H471,'By Lot - Hillcrest'!H487:H488,'By Lot - Hillcrest'!H504:H505,'By Lot - Hillcrest'!H521:H522,'By Lot - Hillcrest'!H538:H539,'By Lot - Hillcrest'!H555:H556,'By Lot - Hillcrest'!H570,'By Lot - Hillcrest'!H581:H582,'By Lot - Hillcrest'!H598:H599,'By Lot - Hillcrest'!H615:H616)</f>
        <v>32</v>
      </c>
      <c r="G226" s="173">
        <f>SUM('By Structure'!G132,'By Structure'!G143,'By Structure'!G154,'By Lot - Hillcrest'!I470:I471,'By Lot - Hillcrest'!I487:I488,'By Lot - Hillcrest'!I504:I505,'By Lot - Hillcrest'!I521:I522,'By Lot - Hillcrest'!I538:I539,'By Lot - Hillcrest'!I555:I556,'By Lot - Hillcrest'!I570,'By Lot - Hillcrest'!I581:I582,'By Lot - Hillcrest'!I598:I599,'By Lot - Hillcrest'!I615:I616)</f>
        <v>26</v>
      </c>
      <c r="H226" s="173">
        <f>SUM('By Structure'!H132,'By Structure'!H143,'By Structure'!H154,'By Lot - Hillcrest'!J470:J471,'By Lot - Hillcrest'!J487:J488,'By Lot - Hillcrest'!J504:J505,'By Lot - Hillcrest'!J521:J522,'By Lot - Hillcrest'!J538:J539,'By Lot - Hillcrest'!J555:J556,'By Lot - Hillcrest'!J570,'By Lot - Hillcrest'!J581:J582,'By Lot - Hillcrest'!J598:J599,'By Lot - Hillcrest'!J615:J616)</f>
        <v>38</v>
      </c>
      <c r="I226" s="173">
        <f>SUM('By Structure'!I132,'By Structure'!I143,'By Structure'!I154,'By Lot - Hillcrest'!K470:K471,'By Lot - Hillcrest'!K487:K488,'By Lot - Hillcrest'!K504:K505,'By Lot - Hillcrest'!K521:K522,'By Lot - Hillcrest'!K538:K539,'By Lot - Hillcrest'!K555:K556,'By Lot - Hillcrest'!K570,'By Lot - Hillcrest'!K581:K582,'By Lot - Hillcrest'!K598:K599,'By Lot - Hillcrest'!K615:K616)</f>
        <v>42</v>
      </c>
      <c r="J226" s="173">
        <f>SUM('By Structure'!J132,'By Structure'!J143,'By Structure'!J154,'By Lot - Hillcrest'!L470:L471,'By Lot - Hillcrest'!L487:L488,'By Lot - Hillcrest'!L504:L505,'By Lot - Hillcrest'!L521:L522,'By Lot - Hillcrest'!L538:L539,'By Lot - Hillcrest'!L555:L556,'By Lot - Hillcrest'!L570,'By Lot - Hillcrest'!L581:L582,'By Lot - Hillcrest'!L598:L599,'By Lot - Hillcrest'!L615:L616)</f>
        <v>43</v>
      </c>
      <c r="K226" s="173">
        <f>SUM('By Structure'!K132,'By Structure'!K143,'By Structure'!K154,'By Lot - Hillcrest'!M470:M471,'By Lot - Hillcrest'!M487:M488,'By Lot - Hillcrest'!M504:M505,'By Lot - Hillcrest'!M521:M522,'By Lot - Hillcrest'!M538:M539,'By Lot - Hillcrest'!M555:M556,'By Lot - Hillcrest'!M570,'By Lot - Hillcrest'!M581:M582,'By Lot - Hillcrest'!M598:M599,'By Lot - Hillcrest'!M615:M616)</f>
        <v>53</v>
      </c>
      <c r="L226" s="173">
        <f>SUM('By Structure'!L132,'By Structure'!L143,'By Structure'!L154,'By Lot - Hillcrest'!N470:N471,'By Lot - Hillcrest'!N487:N488,'By Lot - Hillcrest'!N504:N505,'By Lot - Hillcrest'!N521:N522,'By Lot - Hillcrest'!N538:N539,'By Lot - Hillcrest'!N555:N556,'By Lot - Hillcrest'!N570,'By Lot - Hillcrest'!N581:N582,'By Lot - Hillcrest'!N598:N599,'By Lot - Hillcrest'!N615:N616)</f>
        <v>78</v>
      </c>
      <c r="M226" s="115">
        <f>SUM('By Structure'!M132,'By Structure'!M143,'By Structure'!M154,'By Lot - Hillcrest'!O470:O471,'By Lot - Hillcrest'!O487:O488,'By Lot - Hillcrest'!O504:O505,'By Lot - Hillcrest'!O521:O522,'By Lot - Hillcrest'!O538:O539,'By Lot - Hillcrest'!O555:O556,'By Lot - Hillcrest'!O570,'By Lot - Hillcrest'!O581:O582,'By Lot - Hillcrest'!O598:O599,'By Lot - Hillcrest'!O615:O616)</f>
        <v>126</v>
      </c>
      <c r="N226" s="174">
        <f t="shared" ref="N226:N233" si="80">MIN(D226:M226)</f>
        <v>26</v>
      </c>
      <c r="O226" s="173">
        <f t="shared" ref="O226:O233" si="81">C226-N226</f>
        <v>215</v>
      </c>
      <c r="P226" s="175">
        <f t="shared" ref="P226:P233" si="82">O226/C226</f>
        <v>0.89211618257261416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1.25" customHeight="1" x14ac:dyDescent="0.4">
      <c r="A227" s="110" t="s">
        <v>350</v>
      </c>
      <c r="B227" s="27" t="s">
        <v>308</v>
      </c>
      <c r="C227" s="82">
        <f>SUM('By Structure'!C133,'By Structure'!C144,'By Structure'!C155,'By Lot - Hillcrest'!E472,'By Lot - Hillcrest'!E489,'By Lot - Hillcrest'!E506,'By Lot - Hillcrest'!E523,'By Lot - Hillcrest'!E540,'By Lot - Hillcrest'!E557,'By Lot - Hillcrest'!E571,'By Lot - Hillcrest'!E583,'By Lot - Hillcrest'!E600,'By Lot - Hillcrest'!E617)</f>
        <v>87</v>
      </c>
      <c r="D227" s="74">
        <f>SUM('By Structure'!D133,'By Structure'!D144,'By Structure'!D155,'By Lot - Hillcrest'!F472,'By Lot - Hillcrest'!F489,'By Lot - Hillcrest'!F506,'By Lot - Hillcrest'!F523,'By Lot - Hillcrest'!F540,'By Lot - Hillcrest'!F557,'By Lot - Hillcrest'!F571,'By Lot - Hillcrest'!F583,'By Lot - Hillcrest'!F600,'By Lot - Hillcrest'!F617)</f>
        <v>70</v>
      </c>
      <c r="E227" s="74">
        <f>SUM('By Structure'!E133,'By Structure'!E144,'By Structure'!E155,'By Lot - Hillcrest'!G472,'By Lot - Hillcrest'!G489,'By Lot - Hillcrest'!G506,'By Lot - Hillcrest'!G523,'By Lot - Hillcrest'!G540,'By Lot - Hillcrest'!G557,'By Lot - Hillcrest'!G571,'By Lot - Hillcrest'!G583,'By Lot - Hillcrest'!G600,'By Lot - Hillcrest'!G617)</f>
        <v>60</v>
      </c>
      <c r="F227" s="74">
        <f>SUM('By Structure'!F133,'By Structure'!F144,'By Structure'!F155,'By Lot - Hillcrest'!H472,'By Lot - Hillcrest'!H489,'By Lot - Hillcrest'!H506,'By Lot - Hillcrest'!H523,'By Lot - Hillcrest'!H540,'By Lot - Hillcrest'!H557,'By Lot - Hillcrest'!H571,'By Lot - Hillcrest'!H583,'By Lot - Hillcrest'!H600,'By Lot - Hillcrest'!H617)</f>
        <v>55</v>
      </c>
      <c r="G227" s="74">
        <f>SUM('By Structure'!G133,'By Structure'!G144,'By Structure'!G155,'By Lot - Hillcrest'!I472,'By Lot - Hillcrest'!I489,'By Lot - Hillcrest'!I506,'By Lot - Hillcrest'!I523,'By Lot - Hillcrest'!I540,'By Lot - Hillcrest'!I557,'By Lot - Hillcrest'!I571,'By Lot - Hillcrest'!I583,'By Lot - Hillcrest'!I600,'By Lot - Hillcrest'!I617)</f>
        <v>59</v>
      </c>
      <c r="H227" s="74">
        <f>SUM('By Structure'!H133,'By Structure'!H144,'By Structure'!H155,'By Lot - Hillcrest'!J472,'By Lot - Hillcrest'!J489,'By Lot - Hillcrest'!J506,'By Lot - Hillcrest'!J523,'By Lot - Hillcrest'!J540,'By Lot - Hillcrest'!J557,'By Lot - Hillcrest'!J571,'By Lot - Hillcrest'!J583,'By Lot - Hillcrest'!J600,'By Lot - Hillcrest'!J617)</f>
        <v>54</v>
      </c>
      <c r="I227" s="74">
        <f>SUM('By Structure'!I133,'By Structure'!I144,'By Structure'!I155,'By Lot - Hillcrest'!K472,'By Lot - Hillcrest'!K489,'By Lot - Hillcrest'!K506,'By Lot - Hillcrest'!K523,'By Lot - Hillcrest'!K540,'By Lot - Hillcrest'!K557,'By Lot - Hillcrest'!K571,'By Lot - Hillcrest'!K583,'By Lot - Hillcrest'!K600,'By Lot - Hillcrest'!K617)</f>
        <v>56</v>
      </c>
      <c r="J227" s="74">
        <f>SUM('By Structure'!J133,'By Structure'!J144,'By Structure'!J155,'By Lot - Hillcrest'!L472,'By Lot - Hillcrest'!L489,'By Lot - Hillcrest'!L506,'By Lot - Hillcrest'!L523,'By Lot - Hillcrest'!L540,'By Lot - Hillcrest'!L557,'By Lot - Hillcrest'!L571,'By Lot - Hillcrest'!L583,'By Lot - Hillcrest'!L600,'By Lot - Hillcrest'!L617)</f>
        <v>52</v>
      </c>
      <c r="K227" s="74">
        <f>SUM('By Structure'!K133,'By Structure'!K144,'By Structure'!K155,'By Lot - Hillcrest'!M472,'By Lot - Hillcrest'!M489,'By Lot - Hillcrest'!M506,'By Lot - Hillcrest'!M523,'By Lot - Hillcrest'!M540,'By Lot - Hillcrest'!M557,'By Lot - Hillcrest'!M571,'By Lot - Hillcrest'!M583,'By Lot - Hillcrest'!M600,'By Lot - Hillcrest'!M617)</f>
        <v>56</v>
      </c>
      <c r="L227" s="74">
        <f>SUM('By Structure'!L133,'By Structure'!L144,'By Structure'!L155,'By Lot - Hillcrest'!N472,'By Lot - Hillcrest'!N489,'By Lot - Hillcrest'!N506,'By Lot - Hillcrest'!N523,'By Lot - Hillcrest'!N540,'By Lot - Hillcrest'!N557,'By Lot - Hillcrest'!N571,'By Lot - Hillcrest'!N583,'By Lot - Hillcrest'!N600,'By Lot - Hillcrest'!N617)</f>
        <v>65</v>
      </c>
      <c r="M227" s="60">
        <f>SUM('By Structure'!M133,'By Structure'!M144,'By Structure'!M155,'By Lot - Hillcrest'!O472,'By Lot - Hillcrest'!O489,'By Lot - Hillcrest'!O506,'By Lot - Hillcrest'!O523,'By Lot - Hillcrest'!O540,'By Lot - Hillcrest'!O557,'By Lot - Hillcrest'!O571,'By Lot - Hillcrest'!O583,'By Lot - Hillcrest'!O600,'By Lot - Hillcrest'!O617)</f>
        <v>73</v>
      </c>
      <c r="N227" s="83">
        <f t="shared" si="80"/>
        <v>52</v>
      </c>
      <c r="O227" s="74">
        <f t="shared" si="81"/>
        <v>35</v>
      </c>
      <c r="P227" s="75">
        <f t="shared" si="82"/>
        <v>0.40229885057471265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1.25" customHeight="1" x14ac:dyDescent="0.4">
      <c r="A228" s="17"/>
      <c r="B228" s="27" t="s">
        <v>309</v>
      </c>
      <c r="C228" s="82">
        <f>SUM('By Structure'!C134,'By Structure'!C145,'By Structure'!C156,'By Lot - Hillcrest'!E473:E478,'By Lot - Hillcrest'!E490:E495,'By Lot - Hillcrest'!E507:E512,'By Lot - Hillcrest'!E524:E529,'By Lot - Hillcrest'!E541:E546,'By Lot - Hillcrest'!E558:E561,'By Lot - Hillcrest'!E572,'By Lot - Hillcrest'!E584:E589,'By Lot - Hillcrest'!E601:E606,'By Lot - Hillcrest'!E618:E623)</f>
        <v>202</v>
      </c>
      <c r="D228" s="74">
        <f>SUM('By Structure'!D134,'By Structure'!D145,'By Structure'!D156,'By Lot - Hillcrest'!F473:F478,'By Lot - Hillcrest'!F490:F495,'By Lot - Hillcrest'!F507:F512,'By Lot - Hillcrest'!F524:F529,'By Lot - Hillcrest'!F541:F546,'By Lot - Hillcrest'!F558:F561,'By Lot - Hillcrest'!F572,'By Lot - Hillcrest'!F584:F589,'By Lot - Hillcrest'!F601:F606,'By Lot - Hillcrest'!F618:F623)</f>
        <v>122</v>
      </c>
      <c r="E228" s="74">
        <f>SUM('By Structure'!E134,'By Structure'!E145,'By Structure'!E156,'By Lot - Hillcrest'!G473:G478,'By Lot - Hillcrest'!G490:G495,'By Lot - Hillcrest'!G507:G512,'By Lot - Hillcrest'!G524:G529,'By Lot - Hillcrest'!G541:G546,'By Lot - Hillcrest'!G558:G561,'By Lot - Hillcrest'!G572,'By Lot - Hillcrest'!G584:G589,'By Lot - Hillcrest'!G601:G606,'By Lot - Hillcrest'!G618:G623)</f>
        <v>112</v>
      </c>
      <c r="F228" s="74">
        <f>SUM('By Structure'!F134,'By Structure'!F145,'By Structure'!F156,'By Lot - Hillcrest'!H473:H478,'By Lot - Hillcrest'!H490:H495,'By Lot - Hillcrest'!H507:H512,'By Lot - Hillcrest'!H524:H529,'By Lot - Hillcrest'!H541:H546,'By Lot - Hillcrest'!H558:H561,'By Lot - Hillcrest'!H572,'By Lot - Hillcrest'!H584:H589,'By Lot - Hillcrest'!H601:H606,'By Lot - Hillcrest'!H618:H623)</f>
        <v>110</v>
      </c>
      <c r="G228" s="74">
        <f>SUM('By Structure'!G134,'By Structure'!G145,'By Structure'!G156,'By Lot - Hillcrest'!I473:I478,'By Lot - Hillcrest'!I490:I495,'By Lot - Hillcrest'!I507:I512,'By Lot - Hillcrest'!I524:I529,'By Lot - Hillcrest'!I541:I546,'By Lot - Hillcrest'!I558:I561,'By Lot - Hillcrest'!I572,'By Lot - Hillcrest'!I584:I589,'By Lot - Hillcrest'!I601:I606,'By Lot - Hillcrest'!I618:I623)</f>
        <v>115</v>
      </c>
      <c r="H228" s="74">
        <f>SUM('By Structure'!H134,'By Structure'!H145,'By Structure'!H156,'By Lot - Hillcrest'!J473:J478,'By Lot - Hillcrest'!J490:J495,'By Lot - Hillcrest'!J507:J512,'By Lot - Hillcrest'!J524:J529,'By Lot - Hillcrest'!J541:J546,'By Lot - Hillcrest'!J558:J561,'By Lot - Hillcrest'!J572,'By Lot - Hillcrest'!J584:J589,'By Lot - Hillcrest'!J601:J606,'By Lot - Hillcrest'!J618:J623)</f>
        <v>115</v>
      </c>
      <c r="I228" s="74">
        <f>SUM('By Structure'!I134,'By Structure'!I145,'By Structure'!I156,'By Lot - Hillcrest'!K473:K478,'By Lot - Hillcrest'!K490:K495,'By Lot - Hillcrest'!K507:K512,'By Lot - Hillcrest'!K524:K529,'By Lot - Hillcrest'!K541:K546,'By Lot - Hillcrest'!K558:K561,'By Lot - Hillcrest'!K572,'By Lot - Hillcrest'!K584:K589,'By Lot - Hillcrest'!K601:K606,'By Lot - Hillcrest'!K618:K623)</f>
        <v>114</v>
      </c>
      <c r="J228" s="74">
        <f>SUM('By Structure'!J134,'By Structure'!J145,'By Structure'!J156,'By Lot - Hillcrest'!L473:L478,'By Lot - Hillcrest'!L490:L495,'By Lot - Hillcrest'!L507:L512,'By Lot - Hillcrest'!L524:L529,'By Lot - Hillcrest'!L541:L546,'By Lot - Hillcrest'!L558:L561,'By Lot - Hillcrest'!L572,'By Lot - Hillcrest'!L584:L589,'By Lot - Hillcrest'!L601:L606,'By Lot - Hillcrest'!L618:L623)</f>
        <v>109</v>
      </c>
      <c r="K228" s="74">
        <f>SUM('By Structure'!K134,'By Structure'!K145,'By Structure'!K156,'By Lot - Hillcrest'!M473:M478,'By Lot - Hillcrest'!M490:M495,'By Lot - Hillcrest'!M507:M512,'By Lot - Hillcrest'!M524:M529,'By Lot - Hillcrest'!M541:M546,'By Lot - Hillcrest'!M558:M561,'By Lot - Hillcrest'!M572,'By Lot - Hillcrest'!M584:M589,'By Lot - Hillcrest'!M601:M606,'By Lot - Hillcrest'!M618:M623)</f>
        <v>108</v>
      </c>
      <c r="L228" s="74">
        <f>SUM('By Structure'!L134,'By Structure'!L145,'By Structure'!L156,'By Lot - Hillcrest'!N473:N478,'By Lot - Hillcrest'!N490:N495,'By Lot - Hillcrest'!N507:N512,'By Lot - Hillcrest'!N524:N529,'By Lot - Hillcrest'!N541:N546,'By Lot - Hillcrest'!N558:N561,'By Lot - Hillcrest'!N572,'By Lot - Hillcrest'!N584:N589,'By Lot - Hillcrest'!N601:N606,'By Lot - Hillcrest'!N618:N623)</f>
        <v>121</v>
      </c>
      <c r="M228" s="60">
        <f>SUM('By Structure'!M134,'By Structure'!M145,'By Structure'!M156,'By Lot - Hillcrest'!O473:O478,'By Lot - Hillcrest'!O490:O495,'By Lot - Hillcrest'!O507:O512,'By Lot - Hillcrest'!O524:O529,'By Lot - Hillcrest'!O541:O546,'By Lot - Hillcrest'!O558:O561,'By Lot - Hillcrest'!O572,'By Lot - Hillcrest'!O584:O589,'By Lot - Hillcrest'!O601:O606,'By Lot - Hillcrest'!O618:O623)</f>
        <v>133</v>
      </c>
      <c r="N228" s="83">
        <f t="shared" si="80"/>
        <v>108</v>
      </c>
      <c r="O228" s="74">
        <f t="shared" si="81"/>
        <v>94</v>
      </c>
      <c r="P228" s="75">
        <f t="shared" si="82"/>
        <v>0.46534653465346537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1.25" customHeight="1" x14ac:dyDescent="0.4">
      <c r="A229" s="54"/>
      <c r="B229" s="27" t="s">
        <v>310</v>
      </c>
      <c r="C229" s="82">
        <f>SUM('By Structure'!C135,'By Structure'!C146,'By Structure'!C157,'By Lot - Hillcrest'!E496,'By Lot - Hillcrest'!E513,'By Lot - Hillcrest'!E530,'By Lot - Hillcrest'!E562, 'By Lot - Hillcrest'!E624)</f>
        <v>45</v>
      </c>
      <c r="D229" s="74">
        <f>SUM('By Structure'!D135,'By Structure'!D146,'By Structure'!D157,'By Lot - Hillcrest'!F496,'By Lot - Hillcrest'!F513,'By Lot - Hillcrest'!F530,'By Lot - Hillcrest'!F562, 'By Lot - Hillcrest'!F624)</f>
        <v>11</v>
      </c>
      <c r="E229" s="74">
        <f>SUM('By Structure'!E135,'By Structure'!E146,'By Structure'!E157,'By Lot - Hillcrest'!G496,'By Lot - Hillcrest'!G513,'By Lot - Hillcrest'!G530,'By Lot - Hillcrest'!G562, 'By Lot - Hillcrest'!G624)</f>
        <v>5</v>
      </c>
      <c r="F229" s="74">
        <f>SUM('By Structure'!F135,'By Structure'!F146,'By Structure'!F157,'By Lot - Hillcrest'!H496,'By Lot - Hillcrest'!H513,'By Lot - Hillcrest'!H530,'By Lot - Hillcrest'!H562, 'By Lot - Hillcrest'!H624)</f>
        <v>3</v>
      </c>
      <c r="G229" s="74">
        <f>SUM('By Structure'!G135,'By Structure'!G146,'By Structure'!G157,'By Lot - Hillcrest'!I496,'By Lot - Hillcrest'!I513,'By Lot - Hillcrest'!I530,'By Lot - Hillcrest'!I562, 'By Lot - Hillcrest'!I624)</f>
        <v>5</v>
      </c>
      <c r="H229" s="74">
        <f>SUM('By Structure'!H135,'By Structure'!H146,'By Structure'!H157,'By Lot - Hillcrest'!J496,'By Lot - Hillcrest'!J513,'By Lot - Hillcrest'!J530,'By Lot - Hillcrest'!J562, 'By Lot - Hillcrest'!J624)</f>
        <v>4</v>
      </c>
      <c r="I229" s="74">
        <f>SUM('By Structure'!I135,'By Structure'!I146,'By Structure'!I157,'By Lot - Hillcrest'!K496,'By Lot - Hillcrest'!K513,'By Lot - Hillcrest'!K530,'By Lot - Hillcrest'!K562, 'By Lot - Hillcrest'!K624)</f>
        <v>5</v>
      </c>
      <c r="J229" s="74">
        <f>SUM('By Structure'!J135,'By Structure'!J146,'By Structure'!J157,'By Lot - Hillcrest'!L496,'By Lot - Hillcrest'!L513,'By Lot - Hillcrest'!L530,'By Lot - Hillcrest'!L562, 'By Lot - Hillcrest'!L624)</f>
        <v>4</v>
      </c>
      <c r="K229" s="74">
        <f>SUM('By Structure'!K135,'By Structure'!K146,'By Structure'!K157,'By Lot - Hillcrest'!M496,'By Lot - Hillcrest'!M513,'By Lot - Hillcrest'!M530,'By Lot - Hillcrest'!M562, 'By Lot - Hillcrest'!M624)</f>
        <v>4</v>
      </c>
      <c r="L229" s="74">
        <f>SUM('By Structure'!L135,'By Structure'!L146,'By Structure'!L157,'By Lot - Hillcrest'!N496,'By Lot - Hillcrest'!N513,'By Lot - Hillcrest'!N530,'By Lot - Hillcrest'!N562, 'By Lot - Hillcrest'!N624)</f>
        <v>15</v>
      </c>
      <c r="M229" s="60">
        <f>SUM('By Structure'!M135,'By Structure'!M146,'By Structure'!M157,'By Lot - Hillcrest'!O496,'By Lot - Hillcrest'!O513,'By Lot - Hillcrest'!O530,'By Lot - Hillcrest'!O562, 'By Lot - Hillcrest'!O624)</f>
        <v>23</v>
      </c>
      <c r="N229" s="83">
        <f t="shared" si="80"/>
        <v>3</v>
      </c>
      <c r="O229" s="74">
        <f t="shared" si="81"/>
        <v>42</v>
      </c>
      <c r="P229" s="75">
        <f t="shared" si="82"/>
        <v>0.93333333333333335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1.25" customHeight="1" x14ac:dyDescent="0.4">
      <c r="A230" s="54"/>
      <c r="B230" s="27" t="s">
        <v>311</v>
      </c>
      <c r="C230" s="82">
        <f>SUM('By Structure'!C136,'By Structure'!C147,'By Structure'!C158,'By Lot - Hillcrest'!E480,'By Lot - Hillcrest'!E497,'By Lot - Hillcrest'!E514,'By Lot - Hillcrest'!E531,'By Lot - Hillcrest'!E548,'By Lot - Hillcrest'!E563,'By Lot - Hillcrest'!E574,'By Lot - Hillcrest'!E591,'By Lot - Hillcrest'!E608,'By Lot - Hillcrest'!E625)</f>
        <v>13</v>
      </c>
      <c r="D230" s="74">
        <f>SUM('By Lot - Hillcrest'!F140,'By Lot - Hillcrest'!F497,'By Lot - Hillcrest'!F531,'By Lot - Hillcrest'!F563)</f>
        <v>5</v>
      </c>
      <c r="E230" s="74">
        <f>SUM('By Lot - Hillcrest'!G140,'By Lot - Hillcrest'!G497,'By Lot - Hillcrest'!G531,'By Lot - Hillcrest'!G563)</f>
        <v>5</v>
      </c>
      <c r="F230" s="74">
        <f>SUM('By Lot - Hillcrest'!H140,'By Lot - Hillcrest'!H497,'By Lot - Hillcrest'!H531,'By Lot - Hillcrest'!H563)</f>
        <v>3</v>
      </c>
      <c r="G230" s="74">
        <f>SUM('By Lot - Hillcrest'!I140,'By Lot - Hillcrest'!I497,'By Lot - Hillcrest'!I531,'By Lot - Hillcrest'!I563)</f>
        <v>3</v>
      </c>
      <c r="H230" s="74">
        <f>SUM('By Lot - Hillcrest'!J140,'By Lot - Hillcrest'!J497,'By Lot - Hillcrest'!J531,'By Lot - Hillcrest'!J563)</f>
        <v>4</v>
      </c>
      <c r="I230" s="74">
        <f>SUM('By Lot - Hillcrest'!K140,'By Lot - Hillcrest'!K497,'By Lot - Hillcrest'!K531,'By Lot - Hillcrest'!K563)</f>
        <v>4</v>
      </c>
      <c r="J230" s="74">
        <f>SUM('By Lot - Hillcrest'!L140,'By Lot - Hillcrest'!L497,'By Lot - Hillcrest'!L531,'By Lot - Hillcrest'!L563)</f>
        <v>4</v>
      </c>
      <c r="K230" s="74">
        <f>SUM('By Lot - Hillcrest'!M140,'By Lot - Hillcrest'!M497,'By Lot - Hillcrest'!M531,'By Lot - Hillcrest'!M563)</f>
        <v>3</v>
      </c>
      <c r="L230" s="74">
        <f>SUM('By Lot - Hillcrest'!N140,'By Lot - Hillcrest'!N497,'By Lot - Hillcrest'!N531,'By Lot - Hillcrest'!N563)</f>
        <v>3</v>
      </c>
      <c r="M230" s="60">
        <f>SUM('By Lot - Hillcrest'!O140,'By Lot - Hillcrest'!O497,'By Lot - Hillcrest'!O531,'By Lot - Hillcrest'!O563)</f>
        <v>3</v>
      </c>
      <c r="N230" s="83">
        <f t="shared" si="80"/>
        <v>3</v>
      </c>
      <c r="O230" s="74">
        <f t="shared" si="81"/>
        <v>10</v>
      </c>
      <c r="P230" s="75">
        <f t="shared" si="82"/>
        <v>0.76923076923076927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1.25" customHeight="1" x14ac:dyDescent="0.4">
      <c r="A231" s="54"/>
      <c r="B231" s="27" t="s">
        <v>312</v>
      </c>
      <c r="C231" s="82">
        <f>SUM('By Structure'!C137,'By Structure'!C148,'By Structure'!C159,'By Lot - Hillcrest'!E481,'By Lot - Hillcrest'!E498,'By Lot - Hillcrest'!E515,'By Lot - Hillcrest'!E532,'By Lot - Hillcrest'!E549,'By Lot - Hillcrest'!E564,'By Lot - Hillcrest'!E575,'By Lot - Hillcrest'!E592,'By Lot - Hillcrest'!E609,'By Lot - Hillcrest'!E626)</f>
        <v>14</v>
      </c>
      <c r="D231" s="74">
        <f>SUM('By Structure'!D137,'By Structure'!D148,'By Structure'!D159,'By Lot - Hillcrest'!F481,'By Lot - Hillcrest'!F498,'By Lot - Hillcrest'!F515,'By Lot - Hillcrest'!F532,'By Lot - Hillcrest'!F549,'By Lot - Hillcrest'!F564,'By Lot - Hillcrest'!F575,'By Lot - Hillcrest'!F592,'By Lot - Hillcrest'!F609,'By Lot - Hillcrest'!F626)</f>
        <v>4</v>
      </c>
      <c r="E231" s="74">
        <f>SUM('By Structure'!E137,'By Structure'!E148,'By Structure'!E159,'By Lot - Hillcrest'!G481,'By Lot - Hillcrest'!G498,'By Lot - Hillcrest'!G515,'By Lot - Hillcrest'!G532,'By Lot - Hillcrest'!G549,'By Lot - Hillcrest'!G564,'By Lot - Hillcrest'!G575,'By Lot - Hillcrest'!G592,'By Lot - Hillcrest'!G609,'By Lot - Hillcrest'!G626)</f>
        <v>5</v>
      </c>
      <c r="F231" s="74">
        <f>SUM('By Structure'!F137,'By Structure'!F148,'By Structure'!F159,'By Lot - Hillcrest'!H481,'By Lot - Hillcrest'!H498,'By Lot - Hillcrest'!H515,'By Lot - Hillcrest'!H532,'By Lot - Hillcrest'!H549,'By Lot - Hillcrest'!H564,'By Lot - Hillcrest'!H575,'By Lot - Hillcrest'!H592,'By Lot - Hillcrest'!H609,'By Lot - Hillcrest'!H626)</f>
        <v>1</v>
      </c>
      <c r="G231" s="74">
        <f>SUM('By Structure'!G137,'By Structure'!G148,'By Structure'!G159,'By Lot - Hillcrest'!I481,'By Lot - Hillcrest'!I498,'By Lot - Hillcrest'!I515,'By Lot - Hillcrest'!I532,'By Lot - Hillcrest'!I549,'By Lot - Hillcrest'!I564,'By Lot - Hillcrest'!I575,'By Lot - Hillcrest'!I592,'By Lot - Hillcrest'!I609,'By Lot - Hillcrest'!I626)</f>
        <v>4</v>
      </c>
      <c r="H231" s="74">
        <f>SUM('By Structure'!H137,'By Structure'!H148,'By Structure'!H159,'By Lot - Hillcrest'!J481,'By Lot - Hillcrest'!J498,'By Lot - Hillcrest'!J515,'By Lot - Hillcrest'!J532,'By Lot - Hillcrest'!J549,'By Lot - Hillcrest'!J564,'By Lot - Hillcrest'!J575,'By Lot - Hillcrest'!J592,'By Lot - Hillcrest'!J609,'By Lot - Hillcrest'!J626)</f>
        <v>4</v>
      </c>
      <c r="I231" s="74">
        <f>SUM('By Structure'!I137,'By Structure'!I148,'By Structure'!I159,'By Lot - Hillcrest'!K481,'By Lot - Hillcrest'!K498,'By Lot - Hillcrest'!K515,'By Lot - Hillcrest'!K532,'By Lot - Hillcrest'!K549,'By Lot - Hillcrest'!K564,'By Lot - Hillcrest'!K575,'By Lot - Hillcrest'!K592,'By Lot - Hillcrest'!K609,'By Lot - Hillcrest'!K626)</f>
        <v>2</v>
      </c>
      <c r="J231" s="74">
        <f>SUM('By Structure'!J137,'By Structure'!J148,'By Structure'!J159,'By Lot - Hillcrest'!L481,'By Lot - Hillcrest'!L498,'By Lot - Hillcrest'!L515,'By Lot - Hillcrest'!L532,'By Lot - Hillcrest'!L549,'By Lot - Hillcrest'!L564,'By Lot - Hillcrest'!L575,'By Lot - Hillcrest'!L592,'By Lot - Hillcrest'!L609,'By Lot - Hillcrest'!L626)</f>
        <v>1</v>
      </c>
      <c r="K231" s="74">
        <f>SUM('By Structure'!K137,'By Structure'!K148,'By Structure'!K159,'By Lot - Hillcrest'!M481,'By Lot - Hillcrest'!M498,'By Lot - Hillcrest'!M515,'By Lot - Hillcrest'!M532,'By Lot - Hillcrest'!M549,'By Lot - Hillcrest'!M564,'By Lot - Hillcrest'!M575,'By Lot - Hillcrest'!M592,'By Lot - Hillcrest'!M609,'By Lot - Hillcrest'!M626)</f>
        <v>0</v>
      </c>
      <c r="L231" s="74">
        <f>SUM('By Structure'!L137,'By Structure'!L148,'By Structure'!L159,'By Lot - Hillcrest'!N481,'By Lot - Hillcrest'!N498,'By Lot - Hillcrest'!N515,'By Lot - Hillcrest'!N532,'By Lot - Hillcrest'!N549,'By Lot - Hillcrest'!N564,'By Lot - Hillcrest'!N575,'By Lot - Hillcrest'!N592,'By Lot - Hillcrest'!N609,'By Lot - Hillcrest'!N626)</f>
        <v>2</v>
      </c>
      <c r="M231" s="31">
        <f>SUM('By Structure'!M137,'By Structure'!M148,'By Structure'!M159,'By Lot - Hillcrest'!O481,'By Lot - Hillcrest'!O498,'By Lot - Hillcrest'!O515,'By Lot - Hillcrest'!O532,'By Lot - Hillcrest'!O549,'By Lot - Hillcrest'!O564,'By Lot - Hillcrest'!O575,'By Lot - Hillcrest'!O592,'By Lot - Hillcrest'!O609,'By Lot - Hillcrest'!O626)</f>
        <v>2</v>
      </c>
      <c r="N231" s="83">
        <f t="shared" si="80"/>
        <v>0</v>
      </c>
      <c r="O231" s="74">
        <f t="shared" si="81"/>
        <v>14</v>
      </c>
      <c r="P231" s="75">
        <f t="shared" si="82"/>
        <v>1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1.25" customHeight="1" x14ac:dyDescent="0.4">
      <c r="A232" s="54"/>
      <c r="B232" s="125" t="s">
        <v>313</v>
      </c>
      <c r="C232" s="82">
        <f>SUM('By Structure'!C138,'By Structure'!C149,'By Structure'!C160,'By Lot - Hillcrest'!E482,'By Lot - Hillcrest'!E499,'By Lot - Hillcrest'!E516,'By Lot - Hillcrest'!E533,'By Lot - Hillcrest'!E550,'By Lot - Hillcrest'!E565,'By Lot - Hillcrest'!E576,'By Lot - Hillcrest'!E593,'By Lot - Hillcrest'!E610,'By Lot - Hillcrest'!E627)</f>
        <v>4</v>
      </c>
      <c r="D232" s="74">
        <f>SUM('By Structure'!D138,'By Structure'!D149,'By Structure'!D160,'By Lot - Hillcrest'!F482,'By Lot - Hillcrest'!F499,'By Lot - Hillcrest'!F516,'By Lot - Hillcrest'!F533,'By Lot - Hillcrest'!F550,'By Lot - Hillcrest'!F565,'By Lot - Hillcrest'!F576,'By Lot - Hillcrest'!F593,'By Lot - Hillcrest'!F610,'By Lot - Hillcrest'!F627)</f>
        <v>1</v>
      </c>
      <c r="E232" s="74">
        <f>SUM('By Structure'!E138,'By Structure'!E149,'By Structure'!E160,'By Lot - Hillcrest'!G482,'By Lot - Hillcrest'!G499,'By Lot - Hillcrest'!G516,'By Lot - Hillcrest'!G533,'By Lot - Hillcrest'!G550,'By Lot - Hillcrest'!G565,'By Lot - Hillcrest'!G576,'By Lot - Hillcrest'!G593,'By Lot - Hillcrest'!G610,'By Lot - Hillcrest'!G627)</f>
        <v>1</v>
      </c>
      <c r="F232" s="74">
        <f>SUM('By Structure'!F138,'By Structure'!F149,'By Structure'!F160,'By Lot - Hillcrest'!H482,'By Lot - Hillcrest'!H499,'By Lot - Hillcrest'!H516,'By Lot - Hillcrest'!H533,'By Lot - Hillcrest'!H550,'By Lot - Hillcrest'!H565,'By Lot - Hillcrest'!H576,'By Lot - Hillcrest'!H593,'By Lot - Hillcrest'!H610,'By Lot - Hillcrest'!H627)</f>
        <v>1</v>
      </c>
      <c r="G232" s="74">
        <f>SUM('By Structure'!G138,'By Structure'!G149,'By Structure'!G160,'By Lot - Hillcrest'!I482,'By Lot - Hillcrest'!I499,'By Lot - Hillcrest'!I516,'By Lot - Hillcrest'!I533,'By Lot - Hillcrest'!I550,'By Lot - Hillcrest'!I565,'By Lot - Hillcrest'!I576,'By Lot - Hillcrest'!I593,'By Lot - Hillcrest'!I610,'By Lot - Hillcrest'!I627)</f>
        <v>1</v>
      </c>
      <c r="H232" s="74">
        <f>SUM('By Structure'!H138,'By Structure'!H149,'By Structure'!H160,'By Lot - Hillcrest'!J482,'By Lot - Hillcrest'!J499,'By Lot - Hillcrest'!J516,'By Lot - Hillcrest'!J533,'By Lot - Hillcrest'!J550,'By Lot - Hillcrest'!J565,'By Lot - Hillcrest'!J576,'By Lot - Hillcrest'!J593,'By Lot - Hillcrest'!J610,'By Lot - Hillcrest'!J627)</f>
        <v>0</v>
      </c>
      <c r="I232" s="74">
        <f>SUM('By Structure'!I138,'By Structure'!I149,'By Structure'!I160,'By Lot - Hillcrest'!K482,'By Lot - Hillcrest'!K499,'By Lot - Hillcrest'!K516,'By Lot - Hillcrest'!K533,'By Lot - Hillcrest'!K550,'By Lot - Hillcrest'!K565,'By Lot - Hillcrest'!K576,'By Lot - Hillcrest'!K593,'By Lot - Hillcrest'!K610,'By Lot - Hillcrest'!K627)</f>
        <v>0</v>
      </c>
      <c r="J232" s="74">
        <f>SUM('By Structure'!J138,'By Structure'!J149,'By Structure'!J160,'By Lot - Hillcrest'!L482,'By Lot - Hillcrest'!L499,'By Lot - Hillcrest'!L516,'By Lot - Hillcrest'!L533,'By Lot - Hillcrest'!L550,'By Lot - Hillcrest'!L565,'By Lot - Hillcrest'!L576,'By Lot - Hillcrest'!L593,'By Lot - Hillcrest'!L610,'By Lot - Hillcrest'!L627)</f>
        <v>0</v>
      </c>
      <c r="K232" s="74">
        <f>SUM('By Structure'!K138,'By Structure'!K149,'By Structure'!K160,'By Lot - Hillcrest'!M482,'By Lot - Hillcrest'!M499,'By Lot - Hillcrest'!M516,'By Lot - Hillcrest'!M533,'By Lot - Hillcrest'!M550,'By Lot - Hillcrest'!M565,'By Lot - Hillcrest'!M576,'By Lot - Hillcrest'!M593,'By Lot - Hillcrest'!M610,'By Lot - Hillcrest'!M627)</f>
        <v>0</v>
      </c>
      <c r="L232" s="74">
        <f>SUM('By Structure'!L138,'By Structure'!L149,'By Structure'!L160,'By Lot - Hillcrest'!N482,'By Lot - Hillcrest'!N499,'By Lot - Hillcrest'!N516,'By Lot - Hillcrest'!N533,'By Lot - Hillcrest'!N550,'By Lot - Hillcrest'!N565,'By Lot - Hillcrest'!N576,'By Lot - Hillcrest'!N593,'By Lot - Hillcrest'!N610,'By Lot - Hillcrest'!N627)</f>
        <v>0</v>
      </c>
      <c r="M232" s="31">
        <f>SUM('By Structure'!M138,'By Structure'!M149,'By Structure'!M160,'By Lot - Hillcrest'!O482,'By Lot - Hillcrest'!O499,'By Lot - Hillcrest'!O516,'By Lot - Hillcrest'!O533,'By Lot - Hillcrest'!O550,'By Lot - Hillcrest'!O565,'By Lot - Hillcrest'!O576,'By Lot - Hillcrest'!O593,'By Lot - Hillcrest'!O610,'By Lot - Hillcrest'!O627)</f>
        <v>0</v>
      </c>
      <c r="N232" s="83">
        <f t="shared" si="80"/>
        <v>0</v>
      </c>
      <c r="O232" s="74">
        <f t="shared" si="81"/>
        <v>4</v>
      </c>
      <c r="P232" s="75">
        <f t="shared" si="82"/>
        <v>1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1.25" customHeight="1" x14ac:dyDescent="0.4">
      <c r="A233" s="87"/>
      <c r="B233" s="70" t="s">
        <v>314</v>
      </c>
      <c r="C233" s="95">
        <f t="shared" ref="C233:M233" si="83">SUM(C223:C232)</f>
        <v>1933</v>
      </c>
      <c r="D233" s="89">
        <f t="shared" si="83"/>
        <v>768</v>
      </c>
      <c r="E233" s="89">
        <f t="shared" si="83"/>
        <v>527</v>
      </c>
      <c r="F233" s="89">
        <f t="shared" si="83"/>
        <v>423</v>
      </c>
      <c r="G233" s="89">
        <f t="shared" si="83"/>
        <v>432</v>
      </c>
      <c r="H233" s="89">
        <f t="shared" si="83"/>
        <v>455</v>
      </c>
      <c r="I233" s="89">
        <f t="shared" si="83"/>
        <v>454</v>
      </c>
      <c r="J233" s="89">
        <f t="shared" si="83"/>
        <v>453</v>
      </c>
      <c r="K233" s="89">
        <f t="shared" si="83"/>
        <v>550</v>
      </c>
      <c r="L233" s="89">
        <f t="shared" si="83"/>
        <v>825</v>
      </c>
      <c r="M233" s="157">
        <f t="shared" si="83"/>
        <v>1095</v>
      </c>
      <c r="N233" s="90">
        <f t="shared" si="80"/>
        <v>423</v>
      </c>
      <c r="O233" s="89">
        <f t="shared" si="81"/>
        <v>1510</v>
      </c>
      <c r="P233" s="91">
        <f t="shared" si="82"/>
        <v>0.78116916709777551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1.25" customHeight="1" x14ac:dyDescent="0.4">
      <c r="A234" s="84"/>
      <c r="B234" s="176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8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5" x14ac:dyDescent="0.4">
      <c r="A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7" spans="1:26" ht="15.75" customHeight="1" x14ac:dyDescent="0.4">
      <c r="A237" s="92" t="s">
        <v>327</v>
      </c>
      <c r="B237" s="93"/>
      <c r="C237" s="94" t="s">
        <v>351</v>
      </c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5.75" customHeight="1" x14ac:dyDescent="0.4">
      <c r="A238" s="66">
        <f>'By Area'!C17</f>
        <v>786</v>
      </c>
      <c r="B238" s="95" t="s">
        <v>15</v>
      </c>
      <c r="C238" s="66">
        <f>SUM(C17,C28,C39,C50)</f>
        <v>786</v>
      </c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5.75" customHeight="1" x14ac:dyDescent="0.4">
      <c r="A239" s="179">
        <f>'By Area'!C33</f>
        <v>9582</v>
      </c>
      <c r="B239" s="88" t="s">
        <v>352</v>
      </c>
      <c r="C239" s="179">
        <f>SUM(C61,C74,C85,C96,C108,C119,C131,C143,C154,C166,C178,C189)</f>
        <v>9582</v>
      </c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5.75" customHeight="1" x14ac:dyDescent="0.4">
      <c r="A240" s="66">
        <f>'By Area'!C46</f>
        <v>6177</v>
      </c>
      <c r="B240" s="95" t="s">
        <v>353</v>
      </c>
      <c r="C240" s="66">
        <f>SUM(C190:C222)/2</f>
        <v>6177</v>
      </c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5.75" customHeight="1" x14ac:dyDescent="0.4">
      <c r="A241" s="179">
        <f>'By Area'!C57</f>
        <v>1933</v>
      </c>
      <c r="B241" s="88" t="s">
        <v>5</v>
      </c>
      <c r="C241" s="179">
        <f>C233</f>
        <v>1933</v>
      </c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4.5" customHeight="1" x14ac:dyDescent="0.4">
      <c r="B242" s="1"/>
      <c r="C242" s="180"/>
    </row>
    <row r="243" spans="1:26" ht="15.75" customHeight="1" x14ac:dyDescent="0.4">
      <c r="A243" s="66">
        <f>'By Area'!C61</f>
        <v>16545</v>
      </c>
      <c r="B243" s="181" t="s">
        <v>354</v>
      </c>
      <c r="C243" s="66">
        <f>SUM(C238:C240)</f>
        <v>16545</v>
      </c>
    </row>
    <row r="244" spans="1:26" ht="15.75" customHeight="1" x14ac:dyDescent="0.4"/>
    <row r="245" spans="1:26" ht="15.75" customHeight="1" x14ac:dyDescent="0.4">
      <c r="B245" s="93"/>
    </row>
    <row r="246" spans="1:26" ht="15.75" customHeight="1" x14ac:dyDescent="0.4">
      <c r="A246" s="93"/>
      <c r="B246" s="93"/>
    </row>
    <row r="247" spans="1:26" ht="15.75" customHeight="1" x14ac:dyDescent="0.4"/>
    <row r="248" spans="1:26" ht="15.75" customHeight="1" x14ac:dyDescent="0.4"/>
    <row r="249" spans="1:26" ht="15.75" customHeight="1" x14ac:dyDescent="0.4"/>
    <row r="250" spans="1:26" ht="15.75" customHeight="1" x14ac:dyDescent="0.4"/>
    <row r="251" spans="1:26" ht="15.75" customHeight="1" x14ac:dyDescent="0.4"/>
    <row r="252" spans="1:26" ht="15.75" customHeight="1" x14ac:dyDescent="0.4"/>
    <row r="253" spans="1:26" ht="15.75" customHeight="1" x14ac:dyDescent="0.4"/>
    <row r="254" spans="1:26" ht="15.75" customHeight="1" x14ac:dyDescent="0.4"/>
    <row r="255" spans="1:26" ht="15.75" customHeight="1" x14ac:dyDescent="0.4"/>
    <row r="256" spans="1:2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7" manualBreakCount="7">
    <brk id="39" max="15" man="1"/>
    <brk id="61" max="15" man="1"/>
    <brk id="85" max="15" man="1"/>
    <brk id="119" max="15" man="1"/>
    <brk id="154" max="15" man="1"/>
    <brk id="189" max="15" man="1"/>
    <brk id="222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C1" zoomScaleNormal="100" workbookViewId="0">
      <pane ySplit="6" topLeftCell="A7" activePane="bottomLeft" state="frozen"/>
      <selection pane="bottomLeft" activeCell="C4" sqref="C4"/>
    </sheetView>
  </sheetViews>
  <sheetFormatPr defaultColWidth="14.453125" defaultRowHeight="15" customHeight="1" x14ac:dyDescent="0.4"/>
  <cols>
    <col min="1" max="1" width="13.1796875" hidden="1" customWidth="1"/>
    <col min="2" max="2" width="8.81640625" hidden="1" customWidth="1"/>
    <col min="3" max="3" width="9.453125" customWidth="1"/>
    <col min="4" max="4" width="20" customWidth="1"/>
    <col min="5" max="5" width="7" customWidth="1"/>
    <col min="6" max="6" width="4.453125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customWidth="1"/>
    <col min="21" max="21" width="7.81640625" customWidth="1"/>
  </cols>
  <sheetData>
    <row r="1" spans="1:26" ht="14.5" x14ac:dyDescent="0.4">
      <c r="C1" s="532" t="str">
        <f>'University-wide'!A1</f>
        <v>University of California, San Diego Survey of Parking Space Occupancy Levels, Spring 2022</v>
      </c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T1" s="182"/>
      <c r="U1" s="182"/>
    </row>
    <row r="2" spans="1:26" ht="14.5" x14ac:dyDescent="0.4">
      <c r="C2" s="532" t="s">
        <v>355</v>
      </c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T2" s="182"/>
      <c r="U2" s="182"/>
    </row>
    <row r="3" spans="1:26" ht="14.5" x14ac:dyDescent="0.4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183"/>
      <c r="U3" s="182"/>
    </row>
    <row r="4" spans="1:26" ht="14.5" x14ac:dyDescent="0.4">
      <c r="C4" s="42" t="s">
        <v>45</v>
      </c>
      <c r="D4" s="42" t="s">
        <v>280</v>
      </c>
      <c r="E4" s="42" t="s">
        <v>280</v>
      </c>
      <c r="F4" s="516" t="s">
        <v>281</v>
      </c>
      <c r="G4" s="517"/>
      <c r="H4" s="517"/>
      <c r="I4" s="517"/>
      <c r="J4" s="517"/>
      <c r="K4" s="517"/>
      <c r="L4" s="517"/>
      <c r="M4" s="517"/>
      <c r="N4" s="517"/>
      <c r="O4" s="518"/>
      <c r="P4" s="516" t="s">
        <v>282</v>
      </c>
      <c r="Q4" s="517"/>
      <c r="R4" s="518"/>
      <c r="T4" s="182"/>
      <c r="U4" s="182"/>
    </row>
    <row r="5" spans="1:26" ht="9.75" customHeight="1" x14ac:dyDescent="0.4">
      <c r="C5" s="43"/>
      <c r="D5" s="43" t="s">
        <v>283</v>
      </c>
      <c r="E5" s="43" t="s">
        <v>284</v>
      </c>
      <c r="F5" s="44" t="s">
        <v>285</v>
      </c>
      <c r="G5" s="45" t="s">
        <v>286</v>
      </c>
      <c r="H5" s="45" t="s">
        <v>287</v>
      </c>
      <c r="I5" s="45" t="s">
        <v>288</v>
      </c>
      <c r="J5" s="45" t="s">
        <v>289</v>
      </c>
      <c r="K5" s="45" t="s">
        <v>290</v>
      </c>
      <c r="L5" s="45" t="s">
        <v>291</v>
      </c>
      <c r="M5" s="45" t="s">
        <v>292</v>
      </c>
      <c r="N5" s="45" t="s">
        <v>293</v>
      </c>
      <c r="O5" s="46" t="s">
        <v>294</v>
      </c>
      <c r="P5" s="47" t="s">
        <v>295</v>
      </c>
      <c r="Q5" s="48" t="s">
        <v>296</v>
      </c>
      <c r="R5" s="49" t="s">
        <v>297</v>
      </c>
      <c r="T5" s="182"/>
      <c r="U5" s="182"/>
    </row>
    <row r="6" spans="1:26" ht="9.75" customHeight="1" x14ac:dyDescent="0.4">
      <c r="C6" s="50"/>
      <c r="D6" s="50"/>
      <c r="E6" s="50"/>
      <c r="F6" s="51" t="s">
        <v>298</v>
      </c>
      <c r="G6" s="52" t="s">
        <v>298</v>
      </c>
      <c r="H6" s="52" t="s">
        <v>298</v>
      </c>
      <c r="I6" s="52" t="s">
        <v>298</v>
      </c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3" t="s">
        <v>299</v>
      </c>
      <c r="P6" s="51" t="s">
        <v>284</v>
      </c>
      <c r="Q6" s="52" t="s">
        <v>284</v>
      </c>
      <c r="R6" s="53" t="s">
        <v>296</v>
      </c>
      <c r="T6" s="182"/>
      <c r="U6" s="182"/>
    </row>
    <row r="7" spans="1:26" ht="14.5" hidden="1" x14ac:dyDescent="0.4">
      <c r="A7" s="184"/>
      <c r="B7" s="184"/>
      <c r="C7" s="185" t="s">
        <v>45</v>
      </c>
      <c r="D7" s="185" t="s">
        <v>356</v>
      </c>
      <c r="E7" s="185" t="s">
        <v>357</v>
      </c>
      <c r="F7" s="44" t="s">
        <v>358</v>
      </c>
      <c r="G7" s="45" t="s">
        <v>359</v>
      </c>
      <c r="H7" s="45" t="s">
        <v>360</v>
      </c>
      <c r="I7" s="45" t="s">
        <v>361</v>
      </c>
      <c r="J7" s="45" t="s">
        <v>362</v>
      </c>
      <c r="K7" s="45" t="s">
        <v>363</v>
      </c>
      <c r="L7" s="45" t="s">
        <v>364</v>
      </c>
      <c r="M7" s="45" t="s">
        <v>365</v>
      </c>
      <c r="N7" s="45" t="s">
        <v>366</v>
      </c>
      <c r="O7" s="46" t="s">
        <v>367</v>
      </c>
      <c r="P7" s="44" t="s">
        <v>295</v>
      </c>
      <c r="Q7" s="45" t="s">
        <v>296</v>
      </c>
      <c r="R7" s="46" t="s">
        <v>368</v>
      </c>
      <c r="S7" s="184"/>
      <c r="T7" s="186"/>
      <c r="U7" s="186"/>
      <c r="V7" s="184"/>
      <c r="W7" s="184"/>
      <c r="X7" s="184"/>
      <c r="Y7" s="184"/>
      <c r="Z7" s="184"/>
    </row>
    <row r="8" spans="1:26" ht="9.75" customHeight="1" x14ac:dyDescent="0.4">
      <c r="C8" s="187" t="s">
        <v>46</v>
      </c>
      <c r="D8" s="15" t="s">
        <v>300</v>
      </c>
      <c r="E8" s="15"/>
      <c r="F8" s="73"/>
      <c r="G8" s="108"/>
      <c r="H8" s="108"/>
      <c r="I8" s="108"/>
      <c r="J8" s="108"/>
      <c r="K8" s="108"/>
      <c r="L8" s="108"/>
      <c r="M8" s="108"/>
      <c r="N8" s="108"/>
      <c r="O8" s="109"/>
      <c r="P8" s="73"/>
      <c r="Q8" s="108"/>
      <c r="R8" s="188"/>
      <c r="T8" s="182"/>
      <c r="U8" s="182"/>
    </row>
    <row r="9" spans="1:26" ht="9.75" customHeight="1" x14ac:dyDescent="0.4">
      <c r="B9" s="1"/>
      <c r="C9" s="189" t="str">
        <f t="shared" ref="C9:C24" si="0">C8</f>
        <v>P001</v>
      </c>
      <c r="D9" s="17" t="s">
        <v>301</v>
      </c>
      <c r="E9" s="17"/>
      <c r="F9" s="32"/>
      <c r="G9" s="6"/>
      <c r="H9" s="6"/>
      <c r="I9" s="6"/>
      <c r="J9" s="6"/>
      <c r="K9" s="6"/>
      <c r="L9" s="6"/>
      <c r="M9" s="6"/>
      <c r="N9" s="6"/>
      <c r="O9" s="31"/>
      <c r="P9" s="32"/>
      <c r="Q9" s="6"/>
      <c r="R9" s="59"/>
      <c r="T9" s="182"/>
      <c r="U9" s="183"/>
    </row>
    <row r="10" spans="1:26" ht="9.75" customHeight="1" x14ac:dyDescent="0.4">
      <c r="B10" s="1"/>
      <c r="C10" s="189" t="str">
        <f t="shared" si="0"/>
        <v>P001</v>
      </c>
      <c r="D10" s="17" t="s">
        <v>303</v>
      </c>
      <c r="E10" s="17"/>
      <c r="F10" s="32"/>
      <c r="G10" s="6"/>
      <c r="H10" s="6"/>
      <c r="I10" s="6"/>
      <c r="J10" s="6"/>
      <c r="K10" s="6"/>
      <c r="L10" s="6"/>
      <c r="M10" s="6"/>
      <c r="N10" s="6"/>
      <c r="O10" s="31"/>
      <c r="P10" s="32"/>
      <c r="Q10" s="6"/>
      <c r="R10" s="59"/>
      <c r="T10" s="182"/>
      <c r="U10" s="182"/>
    </row>
    <row r="11" spans="1:26" ht="9.75" customHeight="1" x14ac:dyDescent="0.4">
      <c r="B11" s="1"/>
      <c r="C11" s="189" t="str">
        <f t="shared" si="0"/>
        <v>P001</v>
      </c>
      <c r="D11" s="17" t="s">
        <v>369</v>
      </c>
      <c r="E11" s="17"/>
      <c r="F11" s="32"/>
      <c r="G11" s="6"/>
      <c r="H11" s="6"/>
      <c r="I11" s="6"/>
      <c r="J11" s="6"/>
      <c r="K11" s="6"/>
      <c r="L11" s="6"/>
      <c r="M11" s="6"/>
      <c r="N11" s="6"/>
      <c r="O11" s="31"/>
      <c r="P11" s="32"/>
      <c r="Q11" s="6"/>
      <c r="R11" s="59"/>
      <c r="T11" s="182"/>
      <c r="U11" s="182"/>
    </row>
    <row r="12" spans="1:26" ht="9.75" customHeight="1" x14ac:dyDescent="0.4">
      <c r="B12" s="1"/>
      <c r="C12" s="189" t="str">
        <f t="shared" si="0"/>
        <v>P001</v>
      </c>
      <c r="D12" s="17" t="s">
        <v>369</v>
      </c>
      <c r="E12" s="17"/>
      <c r="F12" s="32"/>
      <c r="G12" s="6"/>
      <c r="H12" s="6"/>
      <c r="I12" s="6"/>
      <c r="J12" s="6"/>
      <c r="K12" s="6"/>
      <c r="L12" s="6"/>
      <c r="M12" s="6"/>
      <c r="N12" s="6"/>
      <c r="O12" s="31"/>
      <c r="P12" s="32"/>
      <c r="Q12" s="6"/>
      <c r="R12" s="59"/>
      <c r="T12" s="182"/>
      <c r="U12" s="182"/>
    </row>
    <row r="13" spans="1:26" ht="9.75" customHeight="1" x14ac:dyDescent="0.4">
      <c r="B13" s="1"/>
      <c r="C13" s="189" t="str">
        <f t="shared" si="0"/>
        <v>P001</v>
      </c>
      <c r="D13" s="17" t="s">
        <v>308</v>
      </c>
      <c r="E13" s="17">
        <v>2</v>
      </c>
      <c r="F13" s="32">
        <v>1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2">
        <f t="shared" ref="P13:P17" si="1">MIN(F13:O13)</f>
        <v>0</v>
      </c>
      <c r="Q13" s="6">
        <f t="shared" ref="Q13:Q17" si="2">E13-P13</f>
        <v>2</v>
      </c>
      <c r="R13" s="59">
        <f t="shared" ref="R13:R17" si="3">Q13/E13</f>
        <v>1</v>
      </c>
      <c r="T13" s="182"/>
      <c r="U13" s="182"/>
    </row>
    <row r="14" spans="1:26" ht="9.75" customHeight="1" x14ac:dyDescent="0.4">
      <c r="B14" s="1"/>
      <c r="C14" s="189" t="str">
        <f t="shared" si="0"/>
        <v>P001</v>
      </c>
      <c r="D14" s="17" t="s">
        <v>370</v>
      </c>
      <c r="E14" s="17">
        <v>1</v>
      </c>
      <c r="F14" s="32">
        <v>1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32">
        <f t="shared" si="1"/>
        <v>0</v>
      </c>
      <c r="Q14" s="6">
        <f t="shared" si="2"/>
        <v>1</v>
      </c>
      <c r="R14" s="59">
        <f t="shared" si="3"/>
        <v>1</v>
      </c>
      <c r="T14" s="182"/>
      <c r="U14" s="182"/>
    </row>
    <row r="15" spans="1:26" ht="9.75" customHeight="1" x14ac:dyDescent="0.4">
      <c r="B15" s="1"/>
      <c r="C15" s="189" t="str">
        <f t="shared" si="0"/>
        <v>P001</v>
      </c>
      <c r="D15" s="17" t="s">
        <v>371</v>
      </c>
      <c r="E15" s="17">
        <v>2</v>
      </c>
      <c r="F15" s="32">
        <v>1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31">
        <v>0</v>
      </c>
      <c r="P15" s="32">
        <f t="shared" si="1"/>
        <v>0</v>
      </c>
      <c r="Q15" s="6">
        <f t="shared" si="2"/>
        <v>2</v>
      </c>
      <c r="R15" s="59">
        <f t="shared" si="3"/>
        <v>1</v>
      </c>
      <c r="T15" s="182"/>
      <c r="U15" s="182"/>
    </row>
    <row r="16" spans="1:26" ht="9.75" customHeight="1" x14ac:dyDescent="0.4">
      <c r="B16" s="1"/>
      <c r="C16" s="189" t="str">
        <f t="shared" si="0"/>
        <v>P001</v>
      </c>
      <c r="D16" s="17" t="s">
        <v>372</v>
      </c>
      <c r="E16" s="17">
        <v>4</v>
      </c>
      <c r="F16" s="32">
        <v>3</v>
      </c>
      <c r="G16" s="6">
        <v>3</v>
      </c>
      <c r="H16" s="6">
        <v>0</v>
      </c>
      <c r="I16" s="6">
        <v>0</v>
      </c>
      <c r="J16" s="6">
        <v>0</v>
      </c>
      <c r="K16" s="6">
        <v>2</v>
      </c>
      <c r="L16" s="6">
        <v>0</v>
      </c>
      <c r="M16" s="6">
        <v>2</v>
      </c>
      <c r="N16" s="6">
        <v>2</v>
      </c>
      <c r="O16" s="31">
        <v>3</v>
      </c>
      <c r="P16" s="32">
        <f t="shared" si="1"/>
        <v>0</v>
      </c>
      <c r="Q16" s="6">
        <f t="shared" si="2"/>
        <v>4</v>
      </c>
      <c r="R16" s="59">
        <f t="shared" si="3"/>
        <v>1</v>
      </c>
      <c r="T16" s="182"/>
      <c r="U16" s="182"/>
    </row>
    <row r="17" spans="2:21" ht="9.75" customHeight="1" x14ac:dyDescent="0.4">
      <c r="B17" s="1"/>
      <c r="C17" s="189" t="str">
        <f t="shared" si="0"/>
        <v>P001</v>
      </c>
      <c r="D17" s="17" t="s">
        <v>373</v>
      </c>
      <c r="E17" s="17">
        <v>1</v>
      </c>
      <c r="F17" s="32">
        <v>1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1</v>
      </c>
      <c r="N17" s="6">
        <v>1</v>
      </c>
      <c r="O17" s="31">
        <v>1</v>
      </c>
      <c r="P17" s="32">
        <f t="shared" si="1"/>
        <v>0</v>
      </c>
      <c r="Q17" s="6">
        <f t="shared" si="2"/>
        <v>1</v>
      </c>
      <c r="R17" s="59">
        <f t="shared" si="3"/>
        <v>1</v>
      </c>
      <c r="T17" s="182"/>
      <c r="U17" s="182"/>
    </row>
    <row r="18" spans="2:21" ht="9.75" customHeight="1" x14ac:dyDescent="0.4">
      <c r="B18" s="1"/>
      <c r="C18" s="189" t="str">
        <f t="shared" si="0"/>
        <v>P001</v>
      </c>
      <c r="D18" s="17" t="s">
        <v>374</v>
      </c>
      <c r="E18" s="17"/>
      <c r="F18" s="32"/>
      <c r="G18" s="6"/>
      <c r="H18" s="6"/>
      <c r="I18" s="6"/>
      <c r="J18" s="6"/>
      <c r="K18" s="6"/>
      <c r="L18" s="6"/>
      <c r="M18" s="6"/>
      <c r="N18" s="6"/>
      <c r="O18" s="31"/>
      <c r="P18" s="32"/>
      <c r="Q18" s="6"/>
      <c r="R18" s="59"/>
      <c r="T18" s="182"/>
      <c r="U18" s="182"/>
    </row>
    <row r="19" spans="2:21" ht="9.75" customHeight="1" x14ac:dyDescent="0.4">
      <c r="B19" s="1"/>
      <c r="C19" s="189" t="str">
        <f t="shared" si="0"/>
        <v>P001</v>
      </c>
      <c r="D19" s="17" t="s">
        <v>374</v>
      </c>
      <c r="E19" s="17"/>
      <c r="F19" s="32"/>
      <c r="G19" s="6"/>
      <c r="H19" s="6"/>
      <c r="I19" s="6"/>
      <c r="J19" s="6"/>
      <c r="K19" s="6"/>
      <c r="L19" s="6"/>
      <c r="M19" s="6"/>
      <c r="N19" s="6"/>
      <c r="O19" s="31"/>
      <c r="P19" s="32"/>
      <c r="Q19" s="6"/>
      <c r="R19" s="59"/>
      <c r="T19" s="182"/>
      <c r="U19" s="182"/>
    </row>
    <row r="20" spans="2:21" ht="9.75" customHeight="1" x14ac:dyDescent="0.4">
      <c r="B20" s="1"/>
      <c r="C20" s="189" t="str">
        <f t="shared" si="0"/>
        <v>P001</v>
      </c>
      <c r="D20" s="17" t="s">
        <v>310</v>
      </c>
      <c r="E20" s="17">
        <v>1</v>
      </c>
      <c r="F20" s="32">
        <v>1</v>
      </c>
      <c r="G20" s="6">
        <v>1</v>
      </c>
      <c r="H20" s="6">
        <v>1</v>
      </c>
      <c r="I20" s="6">
        <v>0</v>
      </c>
      <c r="J20" s="6">
        <v>1</v>
      </c>
      <c r="K20" s="6">
        <v>1</v>
      </c>
      <c r="L20" s="6">
        <v>1</v>
      </c>
      <c r="M20" s="6">
        <v>1</v>
      </c>
      <c r="N20" s="6">
        <v>0</v>
      </c>
      <c r="O20" s="6">
        <v>0</v>
      </c>
      <c r="P20" s="32">
        <f>MIN(F20:O20)</f>
        <v>0</v>
      </c>
      <c r="Q20" s="6">
        <f>E20-P20</f>
        <v>1</v>
      </c>
      <c r="R20" s="59">
        <f>Q20/E20</f>
        <v>1</v>
      </c>
      <c r="T20" s="182"/>
      <c r="U20" s="182"/>
    </row>
    <row r="21" spans="2:21" ht="9.75" customHeight="1" x14ac:dyDescent="0.4">
      <c r="B21" s="1"/>
      <c r="C21" s="189" t="str">
        <f t="shared" si="0"/>
        <v>P001</v>
      </c>
      <c r="D21" s="17" t="s">
        <v>311</v>
      </c>
      <c r="E21" s="17"/>
      <c r="F21" s="32"/>
      <c r="G21" s="6"/>
      <c r="H21" s="6"/>
      <c r="I21" s="6"/>
      <c r="J21" s="6"/>
      <c r="K21" s="6"/>
      <c r="L21" s="6"/>
      <c r="M21" s="6"/>
      <c r="N21" s="6"/>
      <c r="O21" s="31"/>
      <c r="P21" s="32"/>
      <c r="Q21" s="6"/>
      <c r="R21" s="59"/>
      <c r="T21" s="182"/>
      <c r="U21" s="182"/>
    </row>
    <row r="22" spans="2:21" ht="9.75" customHeight="1" x14ac:dyDescent="0.4">
      <c r="B22" s="1"/>
      <c r="C22" s="189" t="str">
        <f t="shared" si="0"/>
        <v>P001</v>
      </c>
      <c r="D22" s="17" t="s">
        <v>312</v>
      </c>
      <c r="E22" s="17"/>
      <c r="F22" s="32"/>
      <c r="G22" s="6"/>
      <c r="H22" s="6"/>
      <c r="I22" s="6"/>
      <c r="J22" s="6"/>
      <c r="K22" s="6"/>
      <c r="L22" s="6"/>
      <c r="M22" s="6"/>
      <c r="N22" s="6"/>
      <c r="O22" s="31"/>
      <c r="P22" s="32"/>
      <c r="Q22" s="6"/>
      <c r="R22" s="59"/>
      <c r="T22" s="182"/>
      <c r="U22" s="182"/>
    </row>
    <row r="23" spans="2:21" ht="9.75" customHeight="1" x14ac:dyDescent="0.4">
      <c r="B23" s="1"/>
      <c r="C23" s="189" t="str">
        <f t="shared" si="0"/>
        <v>P001</v>
      </c>
      <c r="D23" s="17" t="s">
        <v>313</v>
      </c>
      <c r="E23" s="17"/>
      <c r="F23" s="32"/>
      <c r="G23" s="6"/>
      <c r="H23" s="6"/>
      <c r="I23" s="6"/>
      <c r="J23" s="6"/>
      <c r="K23" s="6"/>
      <c r="L23" s="6"/>
      <c r="M23" s="6"/>
      <c r="N23" s="6"/>
      <c r="O23" s="31"/>
      <c r="P23" s="32"/>
      <c r="Q23" s="6"/>
      <c r="R23" s="59"/>
      <c r="T23" s="182"/>
      <c r="U23" s="182"/>
    </row>
    <row r="24" spans="2:21" ht="9.75" customHeight="1" x14ac:dyDescent="0.4">
      <c r="B24" s="1"/>
      <c r="C24" s="190" t="str">
        <f t="shared" si="0"/>
        <v>P001</v>
      </c>
      <c r="D24" s="65" t="s">
        <v>314</v>
      </c>
      <c r="E24" s="65">
        <f t="shared" ref="E24:O24" si="4">SUM(E8:E23)</f>
        <v>11</v>
      </c>
      <c r="F24" s="104">
        <f t="shared" si="4"/>
        <v>8</v>
      </c>
      <c r="G24" s="128">
        <f t="shared" si="4"/>
        <v>8</v>
      </c>
      <c r="H24" s="128">
        <f t="shared" si="4"/>
        <v>1</v>
      </c>
      <c r="I24" s="128">
        <f t="shared" si="4"/>
        <v>0</v>
      </c>
      <c r="J24" s="128">
        <f t="shared" si="4"/>
        <v>1</v>
      </c>
      <c r="K24" s="128">
        <f t="shared" si="4"/>
        <v>4</v>
      </c>
      <c r="L24" s="128">
        <f t="shared" si="4"/>
        <v>1</v>
      </c>
      <c r="M24" s="128">
        <f t="shared" si="4"/>
        <v>4</v>
      </c>
      <c r="N24" s="128">
        <f t="shared" si="4"/>
        <v>3</v>
      </c>
      <c r="O24" s="129">
        <f t="shared" si="4"/>
        <v>5</v>
      </c>
      <c r="P24" s="104">
        <f>MIN(F24:O24)</f>
        <v>0</v>
      </c>
      <c r="Q24" s="128">
        <f>E24-P24</f>
        <v>11</v>
      </c>
      <c r="R24" s="72">
        <f>Q24/E24</f>
        <v>1</v>
      </c>
      <c r="T24" s="182"/>
      <c r="U24" s="182"/>
    </row>
    <row r="25" spans="2:21" ht="9.75" customHeight="1" x14ac:dyDescent="0.4">
      <c r="B25" s="1"/>
      <c r="C25" s="187" t="s">
        <v>68</v>
      </c>
      <c r="D25" s="15" t="s">
        <v>300</v>
      </c>
      <c r="E25" s="15"/>
      <c r="F25" s="73"/>
      <c r="G25" s="108"/>
      <c r="H25" s="108"/>
      <c r="I25" s="108"/>
      <c r="J25" s="108"/>
      <c r="K25" s="108"/>
      <c r="L25" s="108"/>
      <c r="M25" s="108"/>
      <c r="N25" s="108"/>
      <c r="O25" s="109"/>
      <c r="P25" s="73"/>
      <c r="Q25" s="108"/>
      <c r="R25" s="188"/>
      <c r="T25" s="182"/>
      <c r="U25" s="182"/>
    </row>
    <row r="26" spans="2:21" ht="9.75" customHeight="1" x14ac:dyDescent="0.4">
      <c r="B26" s="1"/>
      <c r="C26" s="189" t="str">
        <f t="shared" ref="C26:C41" si="5">C25</f>
        <v>P002</v>
      </c>
      <c r="D26" s="17" t="s">
        <v>301</v>
      </c>
      <c r="E26" s="17"/>
      <c r="F26" s="32"/>
      <c r="G26" s="6"/>
      <c r="H26" s="6"/>
      <c r="I26" s="6"/>
      <c r="J26" s="6"/>
      <c r="K26" s="6"/>
      <c r="L26" s="6"/>
      <c r="M26" s="6"/>
      <c r="N26" s="6"/>
      <c r="O26" s="31"/>
      <c r="P26" s="32"/>
      <c r="Q26" s="6"/>
      <c r="R26" s="59"/>
      <c r="T26" s="182"/>
      <c r="U26" s="182"/>
    </row>
    <row r="27" spans="2:21" ht="9.75" customHeight="1" x14ac:dyDescent="0.4">
      <c r="B27" s="1"/>
      <c r="C27" s="189" t="str">
        <f t="shared" si="5"/>
        <v>P002</v>
      </c>
      <c r="D27" s="17" t="s">
        <v>303</v>
      </c>
      <c r="E27" s="17"/>
      <c r="F27" s="32"/>
      <c r="G27" s="6"/>
      <c r="H27" s="6"/>
      <c r="I27" s="6"/>
      <c r="J27" s="6"/>
      <c r="K27" s="6"/>
      <c r="L27" s="6"/>
      <c r="M27" s="6"/>
      <c r="N27" s="6"/>
      <c r="O27" s="31"/>
      <c r="P27" s="32"/>
      <c r="Q27" s="6"/>
      <c r="R27" s="59"/>
      <c r="T27" s="182"/>
      <c r="U27" s="182"/>
    </row>
    <row r="28" spans="2:21" ht="9.75" customHeight="1" x14ac:dyDescent="0.4">
      <c r="B28" s="1"/>
      <c r="C28" s="164" t="str">
        <f t="shared" si="5"/>
        <v>P002</v>
      </c>
      <c r="D28" s="17" t="s">
        <v>369</v>
      </c>
      <c r="E28" s="17"/>
      <c r="F28" s="32"/>
      <c r="G28" s="6"/>
      <c r="H28" s="6"/>
      <c r="I28" s="6"/>
      <c r="J28" s="6"/>
      <c r="K28" s="6"/>
      <c r="L28" s="6"/>
      <c r="M28" s="6"/>
      <c r="N28" s="6"/>
      <c r="O28" s="31"/>
      <c r="P28" s="32"/>
      <c r="Q28" s="6"/>
      <c r="R28" s="59"/>
      <c r="T28" s="182"/>
      <c r="U28" s="182"/>
    </row>
    <row r="29" spans="2:21" ht="9.75" customHeight="1" x14ac:dyDescent="0.4">
      <c r="B29" s="1"/>
      <c r="C29" s="164" t="str">
        <f t="shared" si="5"/>
        <v>P002</v>
      </c>
      <c r="D29" s="17" t="s">
        <v>369</v>
      </c>
      <c r="E29" s="17"/>
      <c r="F29" s="32"/>
      <c r="G29" s="6"/>
      <c r="H29" s="6"/>
      <c r="I29" s="6"/>
      <c r="J29" s="6"/>
      <c r="K29" s="6"/>
      <c r="L29" s="6"/>
      <c r="M29" s="6"/>
      <c r="N29" s="6"/>
      <c r="O29" s="31"/>
      <c r="P29" s="32"/>
      <c r="Q29" s="6"/>
      <c r="R29" s="59"/>
      <c r="T29" s="182"/>
      <c r="U29" s="182"/>
    </row>
    <row r="30" spans="2:21" ht="9.75" customHeight="1" x14ac:dyDescent="0.4">
      <c r="B30" s="1"/>
      <c r="C30" s="164" t="str">
        <f t="shared" si="5"/>
        <v>P002</v>
      </c>
      <c r="D30" s="17" t="s">
        <v>308</v>
      </c>
      <c r="E30" s="17"/>
      <c r="F30" s="32"/>
      <c r="G30" s="6"/>
      <c r="H30" s="6"/>
      <c r="I30" s="6"/>
      <c r="J30" s="6"/>
      <c r="K30" s="6"/>
      <c r="L30" s="6"/>
      <c r="M30" s="6"/>
      <c r="N30" s="6"/>
      <c r="O30" s="31"/>
      <c r="P30" s="32"/>
      <c r="Q30" s="6"/>
      <c r="R30" s="59"/>
      <c r="T30" s="182"/>
      <c r="U30" s="182"/>
    </row>
    <row r="31" spans="2:21" ht="9.75" customHeight="1" x14ac:dyDescent="0.4">
      <c r="B31" s="1"/>
      <c r="C31" s="164" t="str">
        <f t="shared" si="5"/>
        <v>P002</v>
      </c>
      <c r="D31" s="17" t="s">
        <v>373</v>
      </c>
      <c r="E31" s="17">
        <v>31</v>
      </c>
      <c r="F31" s="32">
        <v>20</v>
      </c>
      <c r="G31" s="6">
        <v>23</v>
      </c>
      <c r="H31" s="6">
        <v>16</v>
      </c>
      <c r="I31" s="6">
        <v>7</v>
      </c>
      <c r="J31" s="6">
        <v>11</v>
      </c>
      <c r="K31" s="6">
        <v>15</v>
      </c>
      <c r="L31" s="6">
        <v>14</v>
      </c>
      <c r="M31" s="6">
        <v>18</v>
      </c>
      <c r="N31" s="6">
        <v>17</v>
      </c>
      <c r="O31" s="31">
        <v>24</v>
      </c>
      <c r="P31" s="32">
        <f>MIN(F31:O31)</f>
        <v>7</v>
      </c>
      <c r="Q31" s="6">
        <f>E31-P31</f>
        <v>24</v>
      </c>
      <c r="R31" s="59">
        <f>Q31/E31</f>
        <v>0.77419354838709675</v>
      </c>
      <c r="T31" s="182"/>
      <c r="U31" s="182"/>
    </row>
    <row r="32" spans="2:21" ht="9.75" customHeight="1" x14ac:dyDescent="0.4">
      <c r="B32" s="1"/>
      <c r="C32" s="164" t="str">
        <f t="shared" si="5"/>
        <v>P002</v>
      </c>
      <c r="D32" s="17" t="s">
        <v>374</v>
      </c>
      <c r="E32" s="17"/>
      <c r="F32" s="32"/>
      <c r="G32" s="6"/>
      <c r="H32" s="6"/>
      <c r="I32" s="6"/>
      <c r="J32" s="6"/>
      <c r="K32" s="6"/>
      <c r="L32" s="6"/>
      <c r="M32" s="6"/>
      <c r="N32" s="6"/>
      <c r="O32" s="31"/>
      <c r="P32" s="32"/>
      <c r="Q32" s="6"/>
      <c r="R32" s="59"/>
      <c r="T32" s="182"/>
      <c r="U32" s="182"/>
    </row>
    <row r="33" spans="2:21" ht="9.75" customHeight="1" x14ac:dyDescent="0.4">
      <c r="B33" s="1"/>
      <c r="C33" s="164" t="str">
        <f t="shared" si="5"/>
        <v>P002</v>
      </c>
      <c r="D33" s="17" t="s">
        <v>374</v>
      </c>
      <c r="E33" s="17"/>
      <c r="F33" s="32"/>
      <c r="G33" s="6"/>
      <c r="H33" s="6"/>
      <c r="I33" s="6"/>
      <c r="J33" s="6"/>
      <c r="K33" s="6"/>
      <c r="L33" s="6"/>
      <c r="M33" s="6"/>
      <c r="N33" s="6"/>
      <c r="O33" s="31"/>
      <c r="P33" s="32"/>
      <c r="Q33" s="6"/>
      <c r="R33" s="59"/>
      <c r="T33" s="182"/>
      <c r="U33" s="182"/>
    </row>
    <row r="34" spans="2:21" ht="9.75" customHeight="1" x14ac:dyDescent="0.4">
      <c r="B34" s="1"/>
      <c r="C34" s="164" t="str">
        <f t="shared" si="5"/>
        <v>P002</v>
      </c>
      <c r="D34" s="17" t="s">
        <v>374</v>
      </c>
      <c r="E34" s="17"/>
      <c r="F34" s="32"/>
      <c r="G34" s="6"/>
      <c r="H34" s="6"/>
      <c r="I34" s="6"/>
      <c r="J34" s="6"/>
      <c r="K34" s="6"/>
      <c r="L34" s="6"/>
      <c r="M34" s="6"/>
      <c r="N34" s="6"/>
      <c r="O34" s="31"/>
      <c r="P34" s="32"/>
      <c r="Q34" s="6"/>
      <c r="R34" s="59"/>
      <c r="T34" s="182"/>
      <c r="U34" s="182"/>
    </row>
    <row r="35" spans="2:21" ht="9.75" customHeight="1" x14ac:dyDescent="0.4">
      <c r="B35" s="1"/>
      <c r="C35" s="164" t="str">
        <f t="shared" si="5"/>
        <v>P002</v>
      </c>
      <c r="D35" s="17" t="s">
        <v>374</v>
      </c>
      <c r="E35" s="17"/>
      <c r="F35" s="32"/>
      <c r="G35" s="6"/>
      <c r="H35" s="6"/>
      <c r="I35" s="6"/>
      <c r="J35" s="6"/>
      <c r="K35" s="6"/>
      <c r="L35" s="6"/>
      <c r="M35" s="6"/>
      <c r="N35" s="6"/>
      <c r="O35" s="31"/>
      <c r="P35" s="32"/>
      <c r="Q35" s="6"/>
      <c r="R35" s="59"/>
      <c r="T35" s="182"/>
      <c r="U35" s="182"/>
    </row>
    <row r="36" spans="2:21" ht="9.75" customHeight="1" x14ac:dyDescent="0.4">
      <c r="B36" s="1"/>
      <c r="C36" s="164" t="str">
        <f t="shared" si="5"/>
        <v>P002</v>
      </c>
      <c r="D36" s="17" t="s">
        <v>374</v>
      </c>
      <c r="E36" s="17"/>
      <c r="F36" s="32"/>
      <c r="G36" s="6"/>
      <c r="H36" s="6"/>
      <c r="I36" s="6"/>
      <c r="J36" s="6"/>
      <c r="K36" s="6"/>
      <c r="L36" s="6"/>
      <c r="M36" s="6"/>
      <c r="N36" s="6"/>
      <c r="O36" s="31"/>
      <c r="P36" s="32"/>
      <c r="Q36" s="6"/>
      <c r="R36" s="59"/>
      <c r="T36" s="182"/>
      <c r="U36" s="182"/>
    </row>
    <row r="37" spans="2:21" ht="9.75" customHeight="1" x14ac:dyDescent="0.4">
      <c r="B37" s="1"/>
      <c r="C37" s="164" t="str">
        <f t="shared" si="5"/>
        <v>P002</v>
      </c>
      <c r="D37" s="17" t="s">
        <v>310</v>
      </c>
      <c r="E37" s="17">
        <v>2</v>
      </c>
      <c r="F37" s="32">
        <v>2</v>
      </c>
      <c r="G37" s="6">
        <v>2</v>
      </c>
      <c r="H37" s="6">
        <v>1</v>
      </c>
      <c r="I37" s="6">
        <v>2</v>
      </c>
      <c r="J37" s="6">
        <v>2</v>
      </c>
      <c r="K37" s="6">
        <v>2</v>
      </c>
      <c r="L37" s="6">
        <v>2</v>
      </c>
      <c r="M37" s="6">
        <v>2</v>
      </c>
      <c r="N37" s="6">
        <v>2</v>
      </c>
      <c r="O37" s="31">
        <v>2</v>
      </c>
      <c r="P37" s="83">
        <f>MIN(F37:O37)</f>
        <v>1</v>
      </c>
      <c r="Q37" s="74">
        <f>E37-P37</f>
        <v>1</v>
      </c>
      <c r="R37" s="75">
        <f>Q37/E37</f>
        <v>0.5</v>
      </c>
      <c r="T37" s="182"/>
      <c r="U37" s="182"/>
    </row>
    <row r="38" spans="2:21" ht="9.75" customHeight="1" x14ac:dyDescent="0.4">
      <c r="B38" s="1"/>
      <c r="C38" s="164" t="str">
        <f t="shared" si="5"/>
        <v>P002</v>
      </c>
      <c r="D38" s="17" t="s">
        <v>311</v>
      </c>
      <c r="E38" s="17"/>
      <c r="F38" s="32"/>
      <c r="G38" s="6"/>
      <c r="H38" s="6"/>
      <c r="I38" s="6"/>
      <c r="J38" s="6"/>
      <c r="K38" s="6"/>
      <c r="L38" s="6"/>
      <c r="M38" s="6"/>
      <c r="N38" s="6"/>
      <c r="O38" s="31"/>
      <c r="P38" s="32"/>
      <c r="Q38" s="6"/>
      <c r="R38" s="59"/>
      <c r="T38" s="182"/>
      <c r="U38" s="182"/>
    </row>
    <row r="39" spans="2:21" ht="9.75" customHeight="1" x14ac:dyDescent="0.4">
      <c r="B39" s="1"/>
      <c r="C39" s="164" t="str">
        <f t="shared" si="5"/>
        <v>P002</v>
      </c>
      <c r="D39" s="17" t="s">
        <v>312</v>
      </c>
      <c r="E39" s="17"/>
      <c r="F39" s="32"/>
      <c r="G39" s="6"/>
      <c r="H39" s="6"/>
      <c r="I39" s="6"/>
      <c r="J39" s="6"/>
      <c r="K39" s="6"/>
      <c r="L39" s="6"/>
      <c r="M39" s="6"/>
      <c r="N39" s="6"/>
      <c r="O39" s="31"/>
      <c r="P39" s="32"/>
      <c r="Q39" s="6"/>
      <c r="R39" s="59"/>
      <c r="T39" s="182"/>
      <c r="U39" s="182"/>
    </row>
    <row r="40" spans="2:21" ht="9.75" customHeight="1" x14ac:dyDescent="0.4">
      <c r="B40" s="1"/>
      <c r="C40" s="164" t="str">
        <f t="shared" si="5"/>
        <v>P002</v>
      </c>
      <c r="D40" s="17" t="s">
        <v>313</v>
      </c>
      <c r="E40" s="17"/>
      <c r="F40" s="32"/>
      <c r="G40" s="6"/>
      <c r="H40" s="6"/>
      <c r="I40" s="6"/>
      <c r="J40" s="6"/>
      <c r="K40" s="6"/>
      <c r="L40" s="6"/>
      <c r="M40" s="6"/>
      <c r="N40" s="6"/>
      <c r="O40" s="31"/>
      <c r="P40" s="32"/>
      <c r="Q40" s="6"/>
      <c r="R40" s="59"/>
      <c r="T40" s="182"/>
      <c r="U40" s="182"/>
    </row>
    <row r="41" spans="2:21" ht="9.75" customHeight="1" x14ac:dyDescent="0.4">
      <c r="B41" s="1"/>
      <c r="C41" s="165" t="str">
        <f t="shared" si="5"/>
        <v>P002</v>
      </c>
      <c r="D41" s="65" t="s">
        <v>314</v>
      </c>
      <c r="E41" s="65">
        <f t="shared" ref="E41:O41" si="6">SUM(E25:E40)</f>
        <v>33</v>
      </c>
      <c r="F41" s="104">
        <f t="shared" si="6"/>
        <v>22</v>
      </c>
      <c r="G41" s="128">
        <f t="shared" si="6"/>
        <v>25</v>
      </c>
      <c r="H41" s="128">
        <f t="shared" si="6"/>
        <v>17</v>
      </c>
      <c r="I41" s="128">
        <f t="shared" si="6"/>
        <v>9</v>
      </c>
      <c r="J41" s="128">
        <f t="shared" si="6"/>
        <v>13</v>
      </c>
      <c r="K41" s="128">
        <f t="shared" si="6"/>
        <v>17</v>
      </c>
      <c r="L41" s="128">
        <f t="shared" si="6"/>
        <v>16</v>
      </c>
      <c r="M41" s="128">
        <f t="shared" si="6"/>
        <v>20</v>
      </c>
      <c r="N41" s="128">
        <f t="shared" si="6"/>
        <v>19</v>
      </c>
      <c r="O41" s="129">
        <f t="shared" si="6"/>
        <v>26</v>
      </c>
      <c r="P41" s="104">
        <f>MIN(F41:O41)</f>
        <v>9</v>
      </c>
      <c r="Q41" s="128">
        <f>E41-P41</f>
        <v>24</v>
      </c>
      <c r="R41" s="72">
        <f>Q41/E41</f>
        <v>0.72727272727272729</v>
      </c>
      <c r="T41" s="182"/>
      <c r="U41" s="182"/>
    </row>
    <row r="42" spans="2:21" ht="9.75" customHeight="1" x14ac:dyDescent="0.4">
      <c r="B42" s="1"/>
      <c r="C42" s="191" t="s">
        <v>89</v>
      </c>
      <c r="D42" s="15" t="s">
        <v>300</v>
      </c>
      <c r="E42" s="15"/>
      <c r="F42" s="73"/>
      <c r="G42" s="108"/>
      <c r="H42" s="108"/>
      <c r="I42" s="108"/>
      <c r="J42" s="108"/>
      <c r="K42" s="108"/>
      <c r="L42" s="108"/>
      <c r="M42" s="108"/>
      <c r="N42" s="108"/>
      <c r="O42" s="109"/>
      <c r="P42" s="73"/>
      <c r="Q42" s="108"/>
      <c r="R42" s="188"/>
      <c r="T42" s="182"/>
      <c r="U42" s="182"/>
    </row>
    <row r="43" spans="2:21" ht="9.75" customHeight="1" x14ac:dyDescent="0.4">
      <c r="B43" s="1"/>
      <c r="C43" s="164" t="str">
        <f t="shared" ref="C43:C58" si="7">C42</f>
        <v>P003</v>
      </c>
      <c r="D43" s="17" t="s">
        <v>301</v>
      </c>
      <c r="E43" s="17"/>
      <c r="F43" s="32"/>
      <c r="G43" s="6"/>
      <c r="H43" s="6"/>
      <c r="I43" s="6"/>
      <c r="J43" s="6"/>
      <c r="K43" s="6"/>
      <c r="L43" s="6"/>
      <c r="M43" s="6"/>
      <c r="N43" s="6"/>
      <c r="O43" s="31"/>
      <c r="P43" s="32"/>
      <c r="Q43" s="6"/>
      <c r="R43" s="59"/>
      <c r="T43" s="182"/>
      <c r="U43" s="182"/>
    </row>
    <row r="44" spans="2:21" ht="9.75" customHeight="1" x14ac:dyDescent="0.4">
      <c r="B44" s="1"/>
      <c r="C44" s="164" t="str">
        <f t="shared" si="7"/>
        <v>P003</v>
      </c>
      <c r="D44" s="17" t="s">
        <v>303</v>
      </c>
      <c r="E44" s="17"/>
      <c r="F44" s="32"/>
      <c r="G44" s="6"/>
      <c r="H44" s="6"/>
      <c r="I44" s="6"/>
      <c r="J44" s="6"/>
      <c r="K44" s="6"/>
      <c r="L44" s="6"/>
      <c r="M44" s="6"/>
      <c r="N44" s="6"/>
      <c r="O44" s="31"/>
      <c r="P44" s="32"/>
      <c r="Q44" s="6"/>
      <c r="R44" s="59"/>
      <c r="T44" s="182"/>
      <c r="U44" s="182"/>
    </row>
    <row r="45" spans="2:21" ht="9.75" customHeight="1" x14ac:dyDescent="0.4">
      <c r="B45" s="1"/>
      <c r="C45" s="164" t="str">
        <f t="shared" si="7"/>
        <v>P003</v>
      </c>
      <c r="D45" s="17" t="s">
        <v>369</v>
      </c>
      <c r="E45" s="17"/>
      <c r="F45" s="32"/>
      <c r="G45" s="6"/>
      <c r="H45" s="6"/>
      <c r="I45" s="6"/>
      <c r="J45" s="6"/>
      <c r="K45" s="6"/>
      <c r="L45" s="6"/>
      <c r="M45" s="6"/>
      <c r="N45" s="6"/>
      <c r="O45" s="31"/>
      <c r="P45" s="32"/>
      <c r="Q45" s="6"/>
      <c r="R45" s="59"/>
      <c r="T45" s="182"/>
      <c r="U45" s="182"/>
    </row>
    <row r="46" spans="2:21" ht="9.75" customHeight="1" x14ac:dyDescent="0.4">
      <c r="B46" s="1"/>
      <c r="C46" s="164" t="str">
        <f t="shared" si="7"/>
        <v>P003</v>
      </c>
      <c r="D46" s="17" t="s">
        <v>369</v>
      </c>
      <c r="E46" s="17"/>
      <c r="F46" s="32"/>
      <c r="G46" s="6"/>
      <c r="H46" s="6"/>
      <c r="I46" s="6"/>
      <c r="J46" s="6"/>
      <c r="K46" s="6"/>
      <c r="L46" s="6"/>
      <c r="M46" s="6"/>
      <c r="N46" s="6"/>
      <c r="O46" s="31"/>
      <c r="P46" s="32"/>
      <c r="Q46" s="6"/>
      <c r="R46" s="59"/>
      <c r="T46" s="182"/>
      <c r="U46" s="182"/>
    </row>
    <row r="47" spans="2:21" ht="9.75" customHeight="1" x14ac:dyDescent="0.4">
      <c r="B47" s="1"/>
      <c r="C47" s="164" t="str">
        <f t="shared" si="7"/>
        <v>P003</v>
      </c>
      <c r="D47" s="17" t="s">
        <v>308</v>
      </c>
      <c r="E47" s="17"/>
      <c r="F47" s="32"/>
      <c r="G47" s="6"/>
      <c r="H47" s="6"/>
      <c r="I47" s="6"/>
      <c r="J47" s="6"/>
      <c r="K47" s="6"/>
      <c r="L47" s="6"/>
      <c r="M47" s="6"/>
      <c r="N47" s="6"/>
      <c r="O47" s="31"/>
      <c r="P47" s="32"/>
      <c r="Q47" s="6"/>
      <c r="R47" s="59"/>
      <c r="T47" s="182"/>
      <c r="U47" s="182"/>
    </row>
    <row r="48" spans="2:21" ht="9.75" customHeight="1" x14ac:dyDescent="0.4">
      <c r="B48" s="1"/>
      <c r="C48" s="164" t="str">
        <f t="shared" si="7"/>
        <v>P003</v>
      </c>
      <c r="D48" s="17" t="s">
        <v>375</v>
      </c>
      <c r="E48" s="17">
        <v>1</v>
      </c>
      <c r="F48" s="32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32">
        <f t="shared" ref="P48:P49" si="8">MIN(F48:O48)</f>
        <v>1</v>
      </c>
      <c r="Q48" s="6">
        <f t="shared" ref="Q48:Q49" si="9">E48-P48</f>
        <v>0</v>
      </c>
      <c r="R48" s="59">
        <f t="shared" ref="R48:R49" si="10">Q48/E48</f>
        <v>0</v>
      </c>
      <c r="T48" s="182"/>
      <c r="U48" s="182"/>
    </row>
    <row r="49" spans="2:21" ht="9.75" customHeight="1" x14ac:dyDescent="0.4">
      <c r="B49" s="1"/>
      <c r="C49" s="164" t="str">
        <f t="shared" si="7"/>
        <v>P003</v>
      </c>
      <c r="D49" s="17" t="s">
        <v>373</v>
      </c>
      <c r="E49" s="17">
        <v>64</v>
      </c>
      <c r="F49" s="32">
        <v>56</v>
      </c>
      <c r="G49" s="6">
        <v>44</v>
      </c>
      <c r="H49" s="6">
        <v>29</v>
      </c>
      <c r="I49" s="6">
        <v>23</v>
      </c>
      <c r="J49" s="6">
        <v>17</v>
      </c>
      <c r="K49" s="6">
        <v>16</v>
      </c>
      <c r="L49" s="6">
        <v>15</v>
      </c>
      <c r="M49" s="6">
        <v>23</v>
      </c>
      <c r="N49" s="6">
        <v>33</v>
      </c>
      <c r="O49" s="31">
        <v>44</v>
      </c>
      <c r="P49" s="32">
        <f t="shared" si="8"/>
        <v>15</v>
      </c>
      <c r="Q49" s="6">
        <f t="shared" si="9"/>
        <v>49</v>
      </c>
      <c r="R49" s="59">
        <f t="shared" si="10"/>
        <v>0.765625</v>
      </c>
      <c r="T49" s="182"/>
      <c r="U49" s="182"/>
    </row>
    <row r="50" spans="2:21" ht="9.75" customHeight="1" x14ac:dyDescent="0.4">
      <c r="B50" s="1"/>
      <c r="C50" s="164" t="str">
        <f t="shared" si="7"/>
        <v>P003</v>
      </c>
      <c r="D50" s="17" t="s">
        <v>374</v>
      </c>
      <c r="E50" s="17"/>
      <c r="F50" s="32"/>
      <c r="G50" s="6"/>
      <c r="H50" s="6"/>
      <c r="I50" s="6"/>
      <c r="J50" s="6"/>
      <c r="K50" s="6"/>
      <c r="L50" s="6"/>
      <c r="M50" s="6"/>
      <c r="N50" s="6"/>
      <c r="O50" s="31"/>
      <c r="P50" s="32"/>
      <c r="Q50" s="6"/>
      <c r="R50" s="59"/>
      <c r="T50" s="182"/>
      <c r="U50" s="182"/>
    </row>
    <row r="51" spans="2:21" ht="9.75" customHeight="1" x14ac:dyDescent="0.4">
      <c r="B51" s="1"/>
      <c r="C51" s="164" t="str">
        <f t="shared" si="7"/>
        <v>P003</v>
      </c>
      <c r="D51" s="17" t="s">
        <v>374</v>
      </c>
      <c r="E51" s="17"/>
      <c r="F51" s="32"/>
      <c r="G51" s="6"/>
      <c r="H51" s="6"/>
      <c r="I51" s="6"/>
      <c r="J51" s="6"/>
      <c r="K51" s="6"/>
      <c r="L51" s="6"/>
      <c r="M51" s="6"/>
      <c r="N51" s="6"/>
      <c r="O51" s="31"/>
      <c r="P51" s="32"/>
      <c r="Q51" s="6"/>
      <c r="R51" s="59"/>
      <c r="T51" s="182"/>
      <c r="U51" s="182"/>
    </row>
    <row r="52" spans="2:21" ht="9.75" customHeight="1" x14ac:dyDescent="0.4">
      <c r="B52" s="1"/>
      <c r="C52" s="164" t="str">
        <f t="shared" si="7"/>
        <v>P003</v>
      </c>
      <c r="D52" s="17" t="s">
        <v>374</v>
      </c>
      <c r="E52" s="17"/>
      <c r="F52" s="32"/>
      <c r="G52" s="6"/>
      <c r="H52" s="6"/>
      <c r="I52" s="6"/>
      <c r="J52" s="6"/>
      <c r="K52" s="6"/>
      <c r="L52" s="6"/>
      <c r="M52" s="6"/>
      <c r="N52" s="6"/>
      <c r="O52" s="31"/>
      <c r="P52" s="32"/>
      <c r="Q52" s="6"/>
      <c r="R52" s="59"/>
      <c r="T52" s="182"/>
      <c r="U52" s="182"/>
    </row>
    <row r="53" spans="2:21" ht="9.75" customHeight="1" x14ac:dyDescent="0.4">
      <c r="B53" s="1"/>
      <c r="C53" s="164" t="str">
        <f t="shared" si="7"/>
        <v>P003</v>
      </c>
      <c r="D53" s="17" t="s">
        <v>374</v>
      </c>
      <c r="E53" s="17"/>
      <c r="F53" s="32"/>
      <c r="G53" s="6"/>
      <c r="H53" s="6"/>
      <c r="I53" s="6"/>
      <c r="J53" s="6"/>
      <c r="K53" s="6"/>
      <c r="L53" s="6"/>
      <c r="M53" s="6"/>
      <c r="N53" s="6"/>
      <c r="O53" s="31"/>
      <c r="P53" s="32"/>
      <c r="Q53" s="6"/>
      <c r="R53" s="59"/>
      <c r="T53" s="182"/>
      <c r="U53" s="182"/>
    </row>
    <row r="54" spans="2:21" ht="9.75" customHeight="1" x14ac:dyDescent="0.4">
      <c r="B54" s="1"/>
      <c r="C54" s="164" t="str">
        <f t="shared" si="7"/>
        <v>P003</v>
      </c>
      <c r="D54" s="17" t="s">
        <v>310</v>
      </c>
      <c r="E54" s="17">
        <v>2</v>
      </c>
      <c r="F54" s="32">
        <v>2</v>
      </c>
      <c r="G54" s="6">
        <v>0</v>
      </c>
      <c r="H54" s="6">
        <v>1</v>
      </c>
      <c r="I54" s="6">
        <v>0</v>
      </c>
      <c r="J54" s="6">
        <v>1</v>
      </c>
      <c r="K54" s="6">
        <v>0</v>
      </c>
      <c r="L54" s="6">
        <v>1</v>
      </c>
      <c r="M54" s="6">
        <v>2</v>
      </c>
      <c r="N54" s="6">
        <v>2</v>
      </c>
      <c r="O54" s="31">
        <v>2</v>
      </c>
      <c r="P54" s="32">
        <f>MIN(F54:O54)</f>
        <v>0</v>
      </c>
      <c r="Q54" s="6">
        <f>E54-P54</f>
        <v>2</v>
      </c>
      <c r="R54" s="59">
        <f>Q54/E54</f>
        <v>1</v>
      </c>
      <c r="T54" s="182"/>
      <c r="U54" s="182"/>
    </row>
    <row r="55" spans="2:21" ht="9.75" customHeight="1" x14ac:dyDescent="0.4">
      <c r="B55" s="1"/>
      <c r="C55" s="164" t="str">
        <f t="shared" si="7"/>
        <v>P003</v>
      </c>
      <c r="D55" s="17" t="s">
        <v>311</v>
      </c>
      <c r="E55" s="17"/>
      <c r="F55" s="32"/>
      <c r="G55" s="6"/>
      <c r="H55" s="6"/>
      <c r="I55" s="6"/>
      <c r="J55" s="6"/>
      <c r="K55" s="6"/>
      <c r="L55" s="6"/>
      <c r="M55" s="6"/>
      <c r="N55" s="6"/>
      <c r="O55" s="31"/>
      <c r="P55" s="32"/>
      <c r="Q55" s="6"/>
      <c r="R55" s="59"/>
      <c r="T55" s="182"/>
      <c r="U55" s="182"/>
    </row>
    <row r="56" spans="2:21" ht="9.75" customHeight="1" x14ac:dyDescent="0.4">
      <c r="B56" s="1"/>
      <c r="C56" s="164" t="str">
        <f t="shared" si="7"/>
        <v>P003</v>
      </c>
      <c r="D56" s="17" t="s">
        <v>312</v>
      </c>
      <c r="E56" s="17"/>
      <c r="F56" s="32"/>
      <c r="G56" s="6"/>
      <c r="H56" s="6"/>
      <c r="I56" s="6"/>
      <c r="J56" s="6"/>
      <c r="K56" s="6"/>
      <c r="L56" s="6"/>
      <c r="M56" s="6"/>
      <c r="N56" s="6"/>
      <c r="O56" s="31"/>
      <c r="P56" s="32"/>
      <c r="Q56" s="6"/>
      <c r="R56" s="59"/>
      <c r="T56" s="182"/>
      <c r="U56" s="182"/>
    </row>
    <row r="57" spans="2:21" ht="9.75" customHeight="1" x14ac:dyDescent="0.4">
      <c r="B57" s="1"/>
      <c r="C57" s="164" t="str">
        <f t="shared" si="7"/>
        <v>P003</v>
      </c>
      <c r="D57" s="17" t="s">
        <v>376</v>
      </c>
      <c r="E57" s="17">
        <v>5</v>
      </c>
      <c r="F57" s="32">
        <v>5</v>
      </c>
      <c r="G57" s="6">
        <v>5</v>
      </c>
      <c r="H57" s="6">
        <v>5</v>
      </c>
      <c r="I57" s="6">
        <v>5</v>
      </c>
      <c r="J57" s="6">
        <v>5</v>
      </c>
      <c r="K57" s="6">
        <v>4</v>
      </c>
      <c r="L57" s="6">
        <v>5</v>
      </c>
      <c r="M57" s="6">
        <v>5</v>
      </c>
      <c r="N57" s="6">
        <v>5</v>
      </c>
      <c r="O57" s="31">
        <v>5</v>
      </c>
      <c r="P57" s="32">
        <f t="shared" ref="P57:P58" si="11">MIN(F57:O57)</f>
        <v>4</v>
      </c>
      <c r="Q57" s="6">
        <f t="shared" ref="Q57:Q58" si="12">E57-P57</f>
        <v>1</v>
      </c>
      <c r="R57" s="59">
        <f t="shared" ref="R57:R58" si="13">Q57/E57</f>
        <v>0.2</v>
      </c>
      <c r="T57" s="182"/>
      <c r="U57" s="182"/>
    </row>
    <row r="58" spans="2:21" ht="9.75" customHeight="1" x14ac:dyDescent="0.4">
      <c r="B58" s="1"/>
      <c r="C58" s="165" t="str">
        <f t="shared" si="7"/>
        <v>P003</v>
      </c>
      <c r="D58" s="65" t="s">
        <v>314</v>
      </c>
      <c r="E58" s="65">
        <f t="shared" ref="E58:O58" si="14">SUM(E42:E57)</f>
        <v>72</v>
      </c>
      <c r="F58" s="104">
        <f t="shared" si="14"/>
        <v>64</v>
      </c>
      <c r="G58" s="128">
        <f t="shared" si="14"/>
        <v>50</v>
      </c>
      <c r="H58" s="128">
        <f t="shared" si="14"/>
        <v>36</v>
      </c>
      <c r="I58" s="128">
        <f t="shared" si="14"/>
        <v>29</v>
      </c>
      <c r="J58" s="128">
        <f t="shared" si="14"/>
        <v>24</v>
      </c>
      <c r="K58" s="128">
        <f t="shared" si="14"/>
        <v>21</v>
      </c>
      <c r="L58" s="128">
        <f t="shared" si="14"/>
        <v>22</v>
      </c>
      <c r="M58" s="128">
        <f t="shared" si="14"/>
        <v>31</v>
      </c>
      <c r="N58" s="128">
        <f t="shared" si="14"/>
        <v>41</v>
      </c>
      <c r="O58" s="129">
        <f t="shared" si="14"/>
        <v>52</v>
      </c>
      <c r="P58" s="104">
        <f t="shared" si="11"/>
        <v>21</v>
      </c>
      <c r="Q58" s="128">
        <f t="shared" si="12"/>
        <v>51</v>
      </c>
      <c r="R58" s="72">
        <f t="shared" si="13"/>
        <v>0.70833333333333337</v>
      </c>
      <c r="T58" s="182"/>
      <c r="U58" s="182"/>
    </row>
    <row r="59" spans="2:21" ht="9.75" customHeight="1" x14ac:dyDescent="0.4">
      <c r="B59" s="1"/>
      <c r="C59" s="15" t="s">
        <v>108</v>
      </c>
      <c r="D59" s="15" t="s">
        <v>300</v>
      </c>
      <c r="E59" s="15"/>
      <c r="F59" s="73"/>
      <c r="G59" s="108"/>
      <c r="H59" s="108"/>
      <c r="I59" s="108"/>
      <c r="J59" s="108"/>
      <c r="K59" s="108"/>
      <c r="L59" s="108"/>
      <c r="M59" s="108"/>
      <c r="N59" s="108"/>
      <c r="O59" s="109"/>
      <c r="P59" s="73"/>
      <c r="Q59" s="108"/>
      <c r="R59" s="188"/>
      <c r="T59" s="182"/>
      <c r="U59" s="182"/>
    </row>
    <row r="60" spans="2:21" ht="9.75" customHeight="1" x14ac:dyDescent="0.4">
      <c r="B60" s="1"/>
      <c r="C60" s="164" t="str">
        <f t="shared" ref="C60:C76" si="15">C59</f>
        <v>P004</v>
      </c>
      <c r="D60" s="17" t="s">
        <v>301</v>
      </c>
      <c r="E60" s="17"/>
      <c r="F60" s="32"/>
      <c r="G60" s="6"/>
      <c r="H60" s="6"/>
      <c r="I60" s="6"/>
      <c r="J60" s="6"/>
      <c r="K60" s="6"/>
      <c r="L60" s="6"/>
      <c r="M60" s="6"/>
      <c r="N60" s="6"/>
      <c r="O60" s="31"/>
      <c r="P60" s="32"/>
      <c r="Q60" s="6"/>
      <c r="R60" s="59"/>
      <c r="T60" s="182"/>
      <c r="U60" s="182"/>
    </row>
    <row r="61" spans="2:21" ht="9.75" customHeight="1" x14ac:dyDescent="0.4">
      <c r="B61" s="1"/>
      <c r="C61" s="164" t="str">
        <f t="shared" si="15"/>
        <v>P004</v>
      </c>
      <c r="D61" s="17" t="s">
        <v>303</v>
      </c>
      <c r="E61" s="17"/>
      <c r="F61" s="32"/>
      <c r="G61" s="6"/>
      <c r="H61" s="6"/>
      <c r="I61" s="6"/>
      <c r="J61" s="6"/>
      <c r="K61" s="6"/>
      <c r="L61" s="6"/>
      <c r="M61" s="6"/>
      <c r="N61" s="6"/>
      <c r="O61" s="31"/>
      <c r="P61" s="32"/>
      <c r="Q61" s="6"/>
      <c r="R61" s="59"/>
      <c r="T61" s="182"/>
      <c r="U61" s="182"/>
    </row>
    <row r="62" spans="2:21" ht="9.75" customHeight="1" x14ac:dyDescent="0.4">
      <c r="B62" s="1"/>
      <c r="C62" s="164" t="str">
        <f t="shared" si="15"/>
        <v>P004</v>
      </c>
      <c r="D62" s="17" t="s">
        <v>369</v>
      </c>
      <c r="E62" s="17"/>
      <c r="F62" s="32"/>
      <c r="G62" s="6"/>
      <c r="H62" s="6"/>
      <c r="I62" s="6"/>
      <c r="J62" s="6"/>
      <c r="K62" s="6"/>
      <c r="L62" s="6"/>
      <c r="M62" s="6"/>
      <c r="N62" s="6"/>
      <c r="O62" s="31"/>
      <c r="P62" s="32"/>
      <c r="Q62" s="6"/>
      <c r="R62" s="59"/>
      <c r="T62" s="182"/>
      <c r="U62" s="182"/>
    </row>
    <row r="63" spans="2:21" ht="9.75" customHeight="1" x14ac:dyDescent="0.4">
      <c r="B63" s="1"/>
      <c r="C63" s="164" t="str">
        <f t="shared" si="15"/>
        <v>P004</v>
      </c>
      <c r="D63" s="17" t="s">
        <v>369</v>
      </c>
      <c r="E63" s="17"/>
      <c r="F63" s="32"/>
      <c r="G63" s="6"/>
      <c r="H63" s="6"/>
      <c r="I63" s="6"/>
      <c r="J63" s="6"/>
      <c r="K63" s="6"/>
      <c r="L63" s="6"/>
      <c r="M63" s="6"/>
      <c r="N63" s="6"/>
      <c r="O63" s="31"/>
      <c r="P63" s="32"/>
      <c r="Q63" s="6"/>
      <c r="R63" s="59"/>
      <c r="T63" s="182"/>
      <c r="U63" s="182"/>
    </row>
    <row r="64" spans="2:21" ht="9.75" customHeight="1" x14ac:dyDescent="0.4">
      <c r="B64" s="1"/>
      <c r="C64" s="164" t="str">
        <f t="shared" si="15"/>
        <v>P004</v>
      </c>
      <c r="D64" s="17" t="s">
        <v>308</v>
      </c>
      <c r="E64" s="17"/>
      <c r="F64" s="32"/>
      <c r="G64" s="6"/>
      <c r="H64" s="6"/>
      <c r="I64" s="6"/>
      <c r="J64" s="6"/>
      <c r="K64" s="6"/>
      <c r="L64" s="6"/>
      <c r="M64" s="6"/>
      <c r="N64" s="6"/>
      <c r="O64" s="31"/>
      <c r="P64" s="32"/>
      <c r="Q64" s="6"/>
      <c r="R64" s="59"/>
      <c r="T64" s="182"/>
      <c r="U64" s="182"/>
    </row>
    <row r="65" spans="2:21" ht="9.75" customHeight="1" x14ac:dyDescent="0.4">
      <c r="B65" s="1"/>
      <c r="C65" s="164" t="str">
        <f t="shared" si="15"/>
        <v>P004</v>
      </c>
      <c r="D65" s="17" t="s">
        <v>372</v>
      </c>
      <c r="E65" s="17">
        <v>1</v>
      </c>
      <c r="F65" s="32">
        <v>0</v>
      </c>
      <c r="G65" s="6">
        <v>0</v>
      </c>
      <c r="H65" s="6">
        <v>0</v>
      </c>
      <c r="I65" s="6">
        <v>0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31">
        <v>1</v>
      </c>
      <c r="P65" s="32">
        <f>MIN(F65:O65)</f>
        <v>0</v>
      </c>
      <c r="Q65" s="6">
        <f>E65-P65</f>
        <v>1</v>
      </c>
      <c r="R65" s="59">
        <f>Q65/E65</f>
        <v>1</v>
      </c>
      <c r="T65" s="182"/>
      <c r="U65" s="182"/>
    </row>
    <row r="66" spans="2:21" ht="9.75" customHeight="1" x14ac:dyDescent="0.4">
      <c r="B66" s="1"/>
      <c r="C66" s="164" t="str">
        <f t="shared" si="15"/>
        <v>P004</v>
      </c>
      <c r="D66" s="17" t="s">
        <v>377</v>
      </c>
      <c r="E66" s="17"/>
      <c r="F66" s="32"/>
      <c r="G66" s="6"/>
      <c r="H66" s="6"/>
      <c r="I66" s="6"/>
      <c r="J66" s="6"/>
      <c r="K66" s="6"/>
      <c r="L66" s="6"/>
      <c r="M66" s="6"/>
      <c r="N66" s="6"/>
      <c r="O66" s="31"/>
      <c r="P66" s="32"/>
      <c r="Q66" s="6"/>
      <c r="R66" s="59"/>
      <c r="T66" s="182"/>
      <c r="U66" s="182"/>
    </row>
    <row r="67" spans="2:21" ht="9.75" customHeight="1" x14ac:dyDescent="0.4">
      <c r="B67" s="1"/>
      <c r="C67" s="164" t="str">
        <f t="shared" si="15"/>
        <v>P004</v>
      </c>
      <c r="D67" s="17" t="s">
        <v>374</v>
      </c>
      <c r="E67" s="17"/>
      <c r="F67" s="32"/>
      <c r="G67" s="6"/>
      <c r="H67" s="6"/>
      <c r="I67" s="6"/>
      <c r="J67" s="6"/>
      <c r="K67" s="6"/>
      <c r="L67" s="6"/>
      <c r="M67" s="6"/>
      <c r="N67" s="6"/>
      <c r="O67" s="31"/>
      <c r="P67" s="32"/>
      <c r="Q67" s="6"/>
      <c r="R67" s="59"/>
      <c r="T67" s="182"/>
      <c r="U67" s="182"/>
    </row>
    <row r="68" spans="2:21" ht="9.75" customHeight="1" x14ac:dyDescent="0.4">
      <c r="B68" s="1"/>
      <c r="C68" s="164" t="str">
        <f t="shared" si="15"/>
        <v>P004</v>
      </c>
      <c r="D68" s="17" t="s">
        <v>374</v>
      </c>
      <c r="E68" s="17"/>
      <c r="F68" s="32"/>
      <c r="G68" s="6"/>
      <c r="H68" s="6"/>
      <c r="I68" s="6"/>
      <c r="J68" s="6"/>
      <c r="K68" s="6"/>
      <c r="L68" s="6"/>
      <c r="M68" s="6"/>
      <c r="N68" s="6"/>
      <c r="O68" s="31"/>
      <c r="P68" s="32"/>
      <c r="Q68" s="6"/>
      <c r="R68" s="59"/>
      <c r="T68" s="182"/>
      <c r="U68" s="182"/>
    </row>
    <row r="69" spans="2:21" ht="9.75" customHeight="1" x14ac:dyDescent="0.4">
      <c r="B69" s="1"/>
      <c r="C69" s="164" t="str">
        <f t="shared" si="15"/>
        <v>P004</v>
      </c>
      <c r="D69" s="17" t="s">
        <v>374</v>
      </c>
      <c r="E69" s="17"/>
      <c r="F69" s="32"/>
      <c r="G69" s="6"/>
      <c r="H69" s="6"/>
      <c r="I69" s="6"/>
      <c r="J69" s="6"/>
      <c r="K69" s="6"/>
      <c r="L69" s="6"/>
      <c r="M69" s="6"/>
      <c r="N69" s="6"/>
      <c r="O69" s="31"/>
      <c r="P69" s="32"/>
      <c r="Q69" s="6"/>
      <c r="R69" s="59"/>
      <c r="T69" s="182"/>
      <c r="U69" s="182"/>
    </row>
    <row r="70" spans="2:21" ht="9.75" customHeight="1" x14ac:dyDescent="0.4">
      <c r="B70" s="1"/>
      <c r="C70" s="164" t="str">
        <f t="shared" si="15"/>
        <v>P004</v>
      </c>
      <c r="D70" s="17" t="s">
        <v>374</v>
      </c>
      <c r="E70" s="17"/>
      <c r="F70" s="32"/>
      <c r="G70" s="6"/>
      <c r="H70" s="6"/>
      <c r="I70" s="6"/>
      <c r="J70" s="6"/>
      <c r="K70" s="6"/>
      <c r="L70" s="6"/>
      <c r="M70" s="6"/>
      <c r="N70" s="6"/>
      <c r="O70" s="31"/>
      <c r="P70" s="32"/>
      <c r="Q70" s="6"/>
      <c r="R70" s="59"/>
      <c r="T70" s="182"/>
      <c r="U70" s="182"/>
    </row>
    <row r="71" spans="2:21" ht="9.75" customHeight="1" x14ac:dyDescent="0.4">
      <c r="B71" s="1"/>
      <c r="C71" s="164" t="str">
        <f t="shared" si="15"/>
        <v>P004</v>
      </c>
      <c r="D71" s="17" t="s">
        <v>310</v>
      </c>
      <c r="E71" s="17"/>
      <c r="F71" s="32"/>
      <c r="G71" s="6"/>
      <c r="H71" s="6"/>
      <c r="I71" s="6"/>
      <c r="J71" s="6"/>
      <c r="K71" s="6"/>
      <c r="L71" s="6"/>
      <c r="M71" s="6"/>
      <c r="N71" s="6"/>
      <c r="O71" s="31"/>
      <c r="P71" s="32"/>
      <c r="Q71" s="6"/>
      <c r="R71" s="59"/>
      <c r="T71" s="182"/>
      <c r="U71" s="182"/>
    </row>
    <row r="72" spans="2:21" ht="9.75" customHeight="1" x14ac:dyDescent="0.4">
      <c r="B72" s="1"/>
      <c r="C72" s="164" t="str">
        <f t="shared" si="15"/>
        <v>P004</v>
      </c>
      <c r="D72" s="17" t="s">
        <v>378</v>
      </c>
      <c r="E72" s="17">
        <v>6</v>
      </c>
      <c r="F72" s="32">
        <v>3</v>
      </c>
      <c r="G72" s="6">
        <v>2</v>
      </c>
      <c r="H72" s="6">
        <v>3</v>
      </c>
      <c r="I72" s="6">
        <v>2</v>
      </c>
      <c r="J72" s="6">
        <v>1</v>
      </c>
      <c r="K72" s="6">
        <v>0</v>
      </c>
      <c r="L72" s="6">
        <v>1</v>
      </c>
      <c r="M72" s="6">
        <v>1</v>
      </c>
      <c r="N72" s="6">
        <v>1</v>
      </c>
      <c r="O72" s="6">
        <v>1</v>
      </c>
      <c r="P72" s="32">
        <f t="shared" ref="P72:P74" si="16">MIN(F72:O72)</f>
        <v>0</v>
      </c>
      <c r="Q72" s="6">
        <f t="shared" ref="Q72:Q74" si="17">E72-P72</f>
        <v>6</v>
      </c>
      <c r="R72" s="59">
        <f t="shared" ref="R72:R74" si="18">Q72/E72</f>
        <v>1</v>
      </c>
      <c r="T72" s="182"/>
      <c r="U72" s="182"/>
    </row>
    <row r="73" spans="2:21" ht="9.75" customHeight="1" x14ac:dyDescent="0.4">
      <c r="B73" s="1"/>
      <c r="C73" s="164" t="str">
        <f t="shared" si="15"/>
        <v>P004</v>
      </c>
      <c r="D73" s="17" t="s">
        <v>312</v>
      </c>
      <c r="E73" s="17">
        <v>1</v>
      </c>
      <c r="F73" s="32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1</v>
      </c>
      <c r="O73" s="6">
        <v>1</v>
      </c>
      <c r="P73" s="32">
        <f t="shared" si="16"/>
        <v>0</v>
      </c>
      <c r="Q73" s="6">
        <f t="shared" si="17"/>
        <v>1</v>
      </c>
      <c r="R73" s="59">
        <f t="shared" si="18"/>
        <v>1</v>
      </c>
      <c r="T73" s="182"/>
      <c r="U73" s="182"/>
    </row>
    <row r="74" spans="2:21" ht="9.75" customHeight="1" x14ac:dyDescent="0.4">
      <c r="B74" s="1"/>
      <c r="C74" s="164" t="str">
        <f t="shared" si="15"/>
        <v>P004</v>
      </c>
      <c r="D74" s="17" t="s">
        <v>379</v>
      </c>
      <c r="E74" s="17">
        <v>5</v>
      </c>
      <c r="F74" s="32">
        <v>2</v>
      </c>
      <c r="G74" s="6">
        <v>0</v>
      </c>
      <c r="H74" s="6">
        <v>0</v>
      </c>
      <c r="I74" s="6">
        <v>0</v>
      </c>
      <c r="J74" s="6">
        <v>2</v>
      </c>
      <c r="K74" s="6">
        <v>0</v>
      </c>
      <c r="L74" s="6">
        <v>0</v>
      </c>
      <c r="M74" s="6">
        <v>1</v>
      </c>
      <c r="N74" s="6">
        <v>2</v>
      </c>
      <c r="O74" s="31">
        <v>2</v>
      </c>
      <c r="P74" s="32">
        <f t="shared" si="16"/>
        <v>0</v>
      </c>
      <c r="Q74" s="6">
        <f t="shared" si="17"/>
        <v>5</v>
      </c>
      <c r="R74" s="59">
        <f t="shared" si="18"/>
        <v>1</v>
      </c>
      <c r="T74" s="182"/>
      <c r="U74" s="182"/>
    </row>
    <row r="75" spans="2:21" ht="9.75" customHeight="1" x14ac:dyDescent="0.4">
      <c r="B75" s="1"/>
      <c r="C75" s="164" t="str">
        <f t="shared" si="15"/>
        <v>P004</v>
      </c>
      <c r="D75" s="17" t="s">
        <v>313</v>
      </c>
      <c r="E75" s="17"/>
      <c r="F75" s="32"/>
      <c r="G75" s="6"/>
      <c r="H75" s="6"/>
      <c r="I75" s="6"/>
      <c r="J75" s="6"/>
      <c r="K75" s="6"/>
      <c r="L75" s="6"/>
      <c r="M75" s="6"/>
      <c r="N75" s="6"/>
      <c r="O75" s="31"/>
      <c r="P75" s="32"/>
      <c r="Q75" s="6"/>
      <c r="R75" s="59"/>
      <c r="T75" s="182"/>
      <c r="U75" s="182"/>
    </row>
    <row r="76" spans="2:21" ht="9.75" customHeight="1" x14ac:dyDescent="0.4">
      <c r="B76" s="1"/>
      <c r="C76" s="165" t="str">
        <f t="shared" si="15"/>
        <v>P004</v>
      </c>
      <c r="D76" s="65" t="s">
        <v>314</v>
      </c>
      <c r="E76" s="65">
        <f t="shared" ref="E76:O76" si="19">SUM(E59:E75)</f>
        <v>13</v>
      </c>
      <c r="F76" s="104">
        <f t="shared" si="19"/>
        <v>5</v>
      </c>
      <c r="G76" s="128">
        <f t="shared" si="19"/>
        <v>2</v>
      </c>
      <c r="H76" s="128">
        <f t="shared" si="19"/>
        <v>3</v>
      </c>
      <c r="I76" s="128">
        <f t="shared" si="19"/>
        <v>2</v>
      </c>
      <c r="J76" s="128">
        <f t="shared" si="19"/>
        <v>4</v>
      </c>
      <c r="K76" s="128">
        <f t="shared" si="19"/>
        <v>1</v>
      </c>
      <c r="L76" s="128">
        <f t="shared" si="19"/>
        <v>2</v>
      </c>
      <c r="M76" s="128">
        <f t="shared" si="19"/>
        <v>4</v>
      </c>
      <c r="N76" s="128">
        <f t="shared" si="19"/>
        <v>5</v>
      </c>
      <c r="O76" s="129">
        <f t="shared" si="19"/>
        <v>5</v>
      </c>
      <c r="P76" s="104">
        <f>MIN(F76:O76)</f>
        <v>1</v>
      </c>
      <c r="Q76" s="128">
        <f>E76-P76</f>
        <v>12</v>
      </c>
      <c r="R76" s="72">
        <f>Q76/E76</f>
        <v>0.92307692307692313</v>
      </c>
      <c r="T76" s="182"/>
      <c r="U76" s="182"/>
    </row>
    <row r="77" spans="2:21" ht="9.75" customHeight="1" x14ac:dyDescent="0.4">
      <c r="B77" s="1"/>
      <c r="C77" s="15" t="s">
        <v>125</v>
      </c>
      <c r="D77" s="15" t="s">
        <v>300</v>
      </c>
      <c r="E77" s="15"/>
      <c r="F77" s="73"/>
      <c r="G77" s="108"/>
      <c r="H77" s="108"/>
      <c r="I77" s="108"/>
      <c r="J77" s="108"/>
      <c r="K77" s="108"/>
      <c r="L77" s="108"/>
      <c r="M77" s="108"/>
      <c r="N77" s="108"/>
      <c r="O77" s="109"/>
      <c r="P77" s="73"/>
      <c r="Q77" s="108"/>
      <c r="R77" s="188"/>
      <c r="T77" s="182"/>
      <c r="U77" s="182"/>
    </row>
    <row r="78" spans="2:21" ht="9.75" customHeight="1" x14ac:dyDescent="0.4">
      <c r="B78" s="1"/>
      <c r="C78" s="164" t="str">
        <f t="shared" ref="C78:C93" si="20">C77</f>
        <v>P005</v>
      </c>
      <c r="D78" s="17" t="s">
        <v>301</v>
      </c>
      <c r="E78" s="17"/>
      <c r="F78" s="32"/>
      <c r="G78" s="6"/>
      <c r="H78" s="6"/>
      <c r="I78" s="6"/>
      <c r="J78" s="6"/>
      <c r="K78" s="6"/>
      <c r="L78" s="6"/>
      <c r="M78" s="6"/>
      <c r="N78" s="6"/>
      <c r="O78" s="31"/>
      <c r="P78" s="32"/>
      <c r="Q78" s="6"/>
      <c r="R78" s="59"/>
      <c r="T78" s="182"/>
      <c r="U78" s="182"/>
    </row>
    <row r="79" spans="2:21" ht="9.75" customHeight="1" x14ac:dyDescent="0.4">
      <c r="B79" s="1"/>
      <c r="C79" s="164" t="str">
        <f t="shared" si="20"/>
        <v>P005</v>
      </c>
      <c r="D79" s="17" t="s">
        <v>303</v>
      </c>
      <c r="E79" s="17"/>
      <c r="F79" s="32"/>
      <c r="G79" s="6"/>
      <c r="H79" s="6"/>
      <c r="I79" s="6"/>
      <c r="J79" s="6"/>
      <c r="K79" s="6"/>
      <c r="L79" s="6"/>
      <c r="M79" s="6"/>
      <c r="N79" s="6"/>
      <c r="O79" s="31"/>
      <c r="P79" s="32"/>
      <c r="Q79" s="6"/>
      <c r="R79" s="59"/>
      <c r="T79" s="182"/>
      <c r="U79" s="182"/>
    </row>
    <row r="80" spans="2:21" ht="9.75" customHeight="1" x14ac:dyDescent="0.4">
      <c r="B80" s="1"/>
      <c r="C80" s="164" t="str">
        <f t="shared" si="20"/>
        <v>P005</v>
      </c>
      <c r="D80" s="17" t="s">
        <v>369</v>
      </c>
      <c r="E80" s="17"/>
      <c r="F80" s="32"/>
      <c r="G80" s="6"/>
      <c r="H80" s="6"/>
      <c r="I80" s="6"/>
      <c r="J80" s="6"/>
      <c r="K80" s="6"/>
      <c r="L80" s="6"/>
      <c r="M80" s="6"/>
      <c r="N80" s="6"/>
      <c r="O80" s="31"/>
      <c r="P80" s="32"/>
      <c r="Q80" s="6"/>
      <c r="R80" s="59"/>
      <c r="T80" s="182"/>
      <c r="U80" s="182"/>
    </row>
    <row r="81" spans="2:21" ht="9.75" customHeight="1" x14ac:dyDescent="0.4">
      <c r="B81" s="1"/>
      <c r="C81" s="164" t="str">
        <f t="shared" si="20"/>
        <v>P005</v>
      </c>
      <c r="D81" s="17" t="s">
        <v>369</v>
      </c>
      <c r="E81" s="17"/>
      <c r="F81" s="32"/>
      <c r="G81" s="6"/>
      <c r="H81" s="6"/>
      <c r="I81" s="6"/>
      <c r="J81" s="6"/>
      <c r="K81" s="6"/>
      <c r="L81" s="6"/>
      <c r="M81" s="6"/>
      <c r="N81" s="6"/>
      <c r="O81" s="31"/>
      <c r="P81" s="32"/>
      <c r="Q81" s="6"/>
      <c r="R81" s="59"/>
      <c r="T81" s="182"/>
      <c r="U81" s="182"/>
    </row>
    <row r="82" spans="2:21" ht="9.75" customHeight="1" x14ac:dyDescent="0.4">
      <c r="B82" s="1"/>
      <c r="C82" s="164" t="str">
        <f t="shared" si="20"/>
        <v>P005</v>
      </c>
      <c r="D82" s="17" t="s">
        <v>308</v>
      </c>
      <c r="E82" s="17"/>
      <c r="F82" s="32"/>
      <c r="G82" s="6"/>
      <c r="H82" s="6"/>
      <c r="I82" s="6"/>
      <c r="J82" s="6"/>
      <c r="K82" s="6"/>
      <c r="L82" s="6"/>
      <c r="M82" s="6"/>
      <c r="N82" s="6"/>
      <c r="O82" s="31"/>
      <c r="P82" s="32"/>
      <c r="Q82" s="6"/>
      <c r="R82" s="59"/>
      <c r="T82" s="182"/>
      <c r="U82" s="182"/>
    </row>
    <row r="83" spans="2:21" ht="9.75" customHeight="1" x14ac:dyDescent="0.4">
      <c r="B83" s="1"/>
      <c r="C83" s="164" t="str">
        <f t="shared" si="20"/>
        <v>P005</v>
      </c>
      <c r="D83" s="17" t="s">
        <v>374</v>
      </c>
      <c r="E83" s="17"/>
      <c r="F83" s="32"/>
      <c r="G83" s="6"/>
      <c r="H83" s="6"/>
      <c r="I83" s="6"/>
      <c r="J83" s="6"/>
      <c r="K83" s="6"/>
      <c r="L83" s="6"/>
      <c r="M83" s="6"/>
      <c r="N83" s="6"/>
      <c r="O83" s="31"/>
      <c r="P83" s="32"/>
      <c r="Q83" s="6"/>
      <c r="R83" s="59"/>
      <c r="T83" s="182"/>
      <c r="U83" s="182"/>
    </row>
    <row r="84" spans="2:21" ht="9.75" customHeight="1" x14ac:dyDescent="0.4">
      <c r="B84" s="1"/>
      <c r="C84" s="164" t="str">
        <f t="shared" si="20"/>
        <v>P005</v>
      </c>
      <c r="D84" s="17" t="s">
        <v>374</v>
      </c>
      <c r="E84" s="17"/>
      <c r="F84" s="32"/>
      <c r="G84" s="6"/>
      <c r="H84" s="6"/>
      <c r="I84" s="6"/>
      <c r="J84" s="6"/>
      <c r="K84" s="6"/>
      <c r="L84" s="6"/>
      <c r="M84" s="6"/>
      <c r="N84" s="6"/>
      <c r="O84" s="31"/>
      <c r="P84" s="32"/>
      <c r="Q84" s="6"/>
      <c r="R84" s="59"/>
      <c r="T84" s="182"/>
      <c r="U84" s="182"/>
    </row>
    <row r="85" spans="2:21" ht="9.75" customHeight="1" x14ac:dyDescent="0.4">
      <c r="B85" s="1"/>
      <c r="C85" s="164" t="str">
        <f t="shared" si="20"/>
        <v>P005</v>
      </c>
      <c r="D85" s="17" t="s">
        <v>374</v>
      </c>
      <c r="E85" s="17"/>
      <c r="F85" s="32"/>
      <c r="G85" s="6"/>
      <c r="H85" s="6"/>
      <c r="I85" s="6"/>
      <c r="J85" s="6"/>
      <c r="K85" s="6"/>
      <c r="L85" s="6"/>
      <c r="M85" s="6"/>
      <c r="N85" s="6"/>
      <c r="O85" s="31"/>
      <c r="P85" s="32"/>
      <c r="Q85" s="6"/>
      <c r="R85" s="59"/>
      <c r="T85" s="182"/>
      <c r="U85" s="182"/>
    </row>
    <row r="86" spans="2:21" ht="9.75" customHeight="1" x14ac:dyDescent="0.4">
      <c r="B86" s="1"/>
      <c r="C86" s="164" t="str">
        <f t="shared" si="20"/>
        <v>P005</v>
      </c>
      <c r="D86" s="17" t="s">
        <v>374</v>
      </c>
      <c r="E86" s="17"/>
      <c r="F86" s="32"/>
      <c r="G86" s="6"/>
      <c r="H86" s="6"/>
      <c r="I86" s="6"/>
      <c r="J86" s="6"/>
      <c r="K86" s="6"/>
      <c r="L86" s="6"/>
      <c r="M86" s="6"/>
      <c r="N86" s="6"/>
      <c r="O86" s="31"/>
      <c r="P86" s="32"/>
      <c r="Q86" s="6"/>
      <c r="R86" s="59"/>
      <c r="T86" s="182"/>
      <c r="U86" s="182"/>
    </row>
    <row r="87" spans="2:21" ht="9.75" customHeight="1" x14ac:dyDescent="0.4">
      <c r="B87" s="1"/>
      <c r="C87" s="164" t="str">
        <f t="shared" si="20"/>
        <v>P005</v>
      </c>
      <c r="D87" s="17" t="s">
        <v>374</v>
      </c>
      <c r="E87" s="17"/>
      <c r="F87" s="32"/>
      <c r="G87" s="6"/>
      <c r="H87" s="6"/>
      <c r="I87" s="6"/>
      <c r="J87" s="6"/>
      <c r="K87" s="6"/>
      <c r="L87" s="6"/>
      <c r="M87" s="6"/>
      <c r="N87" s="6"/>
      <c r="O87" s="31"/>
      <c r="P87" s="32"/>
      <c r="Q87" s="6"/>
      <c r="R87" s="59"/>
      <c r="T87" s="182"/>
      <c r="U87" s="182"/>
    </row>
    <row r="88" spans="2:21" ht="9.75" customHeight="1" x14ac:dyDescent="0.4">
      <c r="B88" s="1"/>
      <c r="C88" s="164" t="str">
        <f t="shared" si="20"/>
        <v>P005</v>
      </c>
      <c r="D88" s="17" t="s">
        <v>374</v>
      </c>
      <c r="E88" s="17"/>
      <c r="F88" s="32"/>
      <c r="G88" s="6"/>
      <c r="H88" s="6"/>
      <c r="I88" s="6"/>
      <c r="J88" s="6"/>
      <c r="K88" s="6"/>
      <c r="L88" s="6"/>
      <c r="M88" s="6"/>
      <c r="N88" s="6"/>
      <c r="O88" s="31"/>
      <c r="P88" s="32"/>
      <c r="Q88" s="6"/>
      <c r="R88" s="59"/>
      <c r="T88" s="182"/>
      <c r="U88" s="182"/>
    </row>
    <row r="89" spans="2:21" ht="9.75" customHeight="1" x14ac:dyDescent="0.4">
      <c r="B89" s="1"/>
      <c r="C89" s="164" t="str">
        <f t="shared" si="20"/>
        <v>P005</v>
      </c>
      <c r="D89" s="17" t="s">
        <v>310</v>
      </c>
      <c r="E89" s="17">
        <v>1</v>
      </c>
      <c r="F89" s="32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32">
        <f>MIN(F89:O89)</f>
        <v>1</v>
      </c>
      <c r="Q89" s="6">
        <f>E89-P89</f>
        <v>0</v>
      </c>
      <c r="R89" s="59">
        <f>Q89/E89</f>
        <v>0</v>
      </c>
      <c r="T89" s="182"/>
      <c r="U89" s="182"/>
    </row>
    <row r="90" spans="2:21" ht="9.75" customHeight="1" x14ac:dyDescent="0.4">
      <c r="B90" s="1"/>
      <c r="C90" s="164" t="str">
        <f t="shared" si="20"/>
        <v>P005</v>
      </c>
      <c r="D90" s="17" t="s">
        <v>311</v>
      </c>
      <c r="E90" s="17"/>
      <c r="F90" s="32"/>
      <c r="G90" s="6"/>
      <c r="H90" s="6"/>
      <c r="I90" s="6"/>
      <c r="J90" s="6"/>
      <c r="K90" s="6"/>
      <c r="L90" s="6"/>
      <c r="M90" s="6"/>
      <c r="N90" s="6"/>
      <c r="O90" s="31"/>
      <c r="P90" s="32"/>
      <c r="Q90" s="6"/>
      <c r="R90" s="59"/>
      <c r="T90" s="182"/>
      <c r="U90" s="182"/>
    </row>
    <row r="91" spans="2:21" ht="9.75" customHeight="1" x14ac:dyDescent="0.4">
      <c r="B91" s="1"/>
      <c r="C91" s="164" t="str">
        <f t="shared" si="20"/>
        <v>P005</v>
      </c>
      <c r="D91" s="17" t="s">
        <v>312</v>
      </c>
      <c r="E91" s="17"/>
      <c r="F91" s="32"/>
      <c r="G91" s="6"/>
      <c r="H91" s="6"/>
      <c r="I91" s="6"/>
      <c r="J91" s="6"/>
      <c r="K91" s="6"/>
      <c r="L91" s="6"/>
      <c r="M91" s="6"/>
      <c r="N91" s="6"/>
      <c r="O91" s="31"/>
      <c r="P91" s="32"/>
      <c r="Q91" s="6"/>
      <c r="R91" s="59"/>
      <c r="T91" s="182"/>
      <c r="U91" s="182"/>
    </row>
    <row r="92" spans="2:21" ht="9.75" customHeight="1" x14ac:dyDescent="0.4">
      <c r="B92" s="1"/>
      <c r="C92" s="164" t="str">
        <f t="shared" si="20"/>
        <v>P005</v>
      </c>
      <c r="D92" s="17" t="s">
        <v>380</v>
      </c>
      <c r="E92" s="17"/>
      <c r="F92" s="32"/>
      <c r="G92" s="6"/>
      <c r="H92" s="6"/>
      <c r="I92" s="6"/>
      <c r="J92" s="6"/>
      <c r="K92" s="6"/>
      <c r="L92" s="6"/>
      <c r="M92" s="6"/>
      <c r="N92" s="6"/>
      <c r="O92" s="31"/>
      <c r="P92" s="32"/>
      <c r="Q92" s="6"/>
      <c r="R92" s="59"/>
      <c r="T92" s="182"/>
      <c r="U92" s="182"/>
    </row>
    <row r="93" spans="2:21" ht="9.75" customHeight="1" x14ac:dyDescent="0.4">
      <c r="B93" s="1"/>
      <c r="C93" s="165" t="str">
        <f t="shared" si="20"/>
        <v>P005</v>
      </c>
      <c r="D93" s="65" t="s">
        <v>314</v>
      </c>
      <c r="E93" s="65">
        <f t="shared" ref="E93:O93" si="21">SUM(E77:E92)</f>
        <v>1</v>
      </c>
      <c r="F93" s="104">
        <f t="shared" si="21"/>
        <v>1</v>
      </c>
      <c r="G93" s="128">
        <f t="shared" si="21"/>
        <v>1</v>
      </c>
      <c r="H93" s="128">
        <f t="shared" si="21"/>
        <v>1</v>
      </c>
      <c r="I93" s="128">
        <f t="shared" si="21"/>
        <v>1</v>
      </c>
      <c r="J93" s="128">
        <f t="shared" si="21"/>
        <v>1</v>
      </c>
      <c r="K93" s="128">
        <f t="shared" si="21"/>
        <v>1</v>
      </c>
      <c r="L93" s="128">
        <f t="shared" si="21"/>
        <v>1</v>
      </c>
      <c r="M93" s="128">
        <f t="shared" si="21"/>
        <v>1</v>
      </c>
      <c r="N93" s="128">
        <f t="shared" si="21"/>
        <v>1</v>
      </c>
      <c r="O93" s="129">
        <f t="shared" si="21"/>
        <v>1</v>
      </c>
      <c r="P93" s="104">
        <f>MIN(F93:O93)</f>
        <v>1</v>
      </c>
      <c r="Q93" s="128">
        <f>E93-P93</f>
        <v>0</v>
      </c>
      <c r="R93" s="72">
        <f>Q93/E93</f>
        <v>0</v>
      </c>
      <c r="T93" s="182"/>
      <c r="U93" s="182"/>
    </row>
    <row r="94" spans="2:21" ht="9.75" customHeight="1" x14ac:dyDescent="0.4">
      <c r="B94" s="1"/>
      <c r="C94" s="15" t="s">
        <v>143</v>
      </c>
      <c r="D94" s="15" t="s">
        <v>300</v>
      </c>
      <c r="E94" s="15"/>
      <c r="F94" s="73"/>
      <c r="G94" s="108"/>
      <c r="H94" s="108"/>
      <c r="I94" s="108"/>
      <c r="J94" s="108"/>
      <c r="K94" s="108"/>
      <c r="L94" s="108"/>
      <c r="M94" s="108"/>
      <c r="N94" s="108"/>
      <c r="O94" s="109"/>
      <c r="P94" s="73"/>
      <c r="Q94" s="108"/>
      <c r="R94" s="188"/>
      <c r="T94" s="182"/>
      <c r="U94" s="182"/>
    </row>
    <row r="95" spans="2:21" ht="9.75" customHeight="1" x14ac:dyDescent="0.4">
      <c r="B95" s="1"/>
      <c r="C95" s="164" t="str">
        <f t="shared" ref="C95:C110" si="22">C94</f>
        <v>P006</v>
      </c>
      <c r="D95" s="17" t="s">
        <v>301</v>
      </c>
      <c r="E95" s="17"/>
      <c r="F95" s="32"/>
      <c r="G95" s="6"/>
      <c r="H95" s="6"/>
      <c r="I95" s="6"/>
      <c r="J95" s="6"/>
      <c r="K95" s="6"/>
      <c r="L95" s="6"/>
      <c r="M95" s="6"/>
      <c r="N95" s="6"/>
      <c r="O95" s="31"/>
      <c r="P95" s="32"/>
      <c r="Q95" s="6"/>
      <c r="R95" s="59"/>
      <c r="T95" s="182"/>
      <c r="U95" s="182"/>
    </row>
    <row r="96" spans="2:21" ht="9.75" customHeight="1" x14ac:dyDescent="0.4">
      <c r="B96" s="1"/>
      <c r="C96" s="164" t="str">
        <f t="shared" si="22"/>
        <v>P006</v>
      </c>
      <c r="D96" s="17" t="s">
        <v>303</v>
      </c>
      <c r="E96" s="17"/>
      <c r="F96" s="32"/>
      <c r="G96" s="6"/>
      <c r="H96" s="6"/>
      <c r="I96" s="6"/>
      <c r="J96" s="6"/>
      <c r="K96" s="6"/>
      <c r="L96" s="6"/>
      <c r="M96" s="6"/>
      <c r="N96" s="6"/>
      <c r="O96" s="31"/>
      <c r="P96" s="32"/>
      <c r="Q96" s="6"/>
      <c r="R96" s="59"/>
      <c r="T96" s="182"/>
      <c r="U96" s="182"/>
    </row>
    <row r="97" spans="2:21" ht="9.75" customHeight="1" x14ac:dyDescent="0.4">
      <c r="B97" s="1"/>
      <c r="C97" s="164" t="str">
        <f t="shared" si="22"/>
        <v>P006</v>
      </c>
      <c r="D97" s="17" t="s">
        <v>369</v>
      </c>
      <c r="E97" s="17"/>
      <c r="F97" s="32"/>
      <c r="G97" s="6"/>
      <c r="H97" s="6"/>
      <c r="I97" s="6"/>
      <c r="J97" s="6"/>
      <c r="K97" s="6"/>
      <c r="L97" s="6"/>
      <c r="M97" s="6"/>
      <c r="N97" s="6"/>
      <c r="O97" s="31"/>
      <c r="P97" s="32"/>
      <c r="Q97" s="6"/>
      <c r="R97" s="59"/>
      <c r="T97" s="182"/>
      <c r="U97" s="182"/>
    </row>
    <row r="98" spans="2:21" ht="9.75" customHeight="1" x14ac:dyDescent="0.4">
      <c r="B98" s="1"/>
      <c r="C98" s="164" t="str">
        <f t="shared" si="22"/>
        <v>P006</v>
      </c>
      <c r="D98" s="17" t="s">
        <v>369</v>
      </c>
      <c r="E98" s="17"/>
      <c r="F98" s="32"/>
      <c r="G98" s="6"/>
      <c r="H98" s="6"/>
      <c r="I98" s="6"/>
      <c r="J98" s="6"/>
      <c r="K98" s="6"/>
      <c r="L98" s="6"/>
      <c r="M98" s="6"/>
      <c r="N98" s="6"/>
      <c r="O98" s="31"/>
      <c r="P98" s="32"/>
      <c r="Q98" s="6"/>
      <c r="R98" s="59"/>
      <c r="T98" s="182"/>
      <c r="U98" s="182"/>
    </row>
    <row r="99" spans="2:21" ht="9.75" customHeight="1" x14ac:dyDescent="0.4">
      <c r="B99" s="1"/>
      <c r="C99" s="164" t="str">
        <f t="shared" si="22"/>
        <v>P006</v>
      </c>
      <c r="D99" s="17" t="s">
        <v>308</v>
      </c>
      <c r="E99" s="17"/>
      <c r="F99" s="32"/>
      <c r="G99" s="6"/>
      <c r="H99" s="6"/>
      <c r="I99" s="6"/>
      <c r="J99" s="6"/>
      <c r="K99" s="6"/>
      <c r="L99" s="6"/>
      <c r="M99" s="6"/>
      <c r="N99" s="6"/>
      <c r="O99" s="31"/>
      <c r="P99" s="32"/>
      <c r="Q99" s="6"/>
      <c r="R99" s="59"/>
      <c r="T99" s="182"/>
      <c r="U99" s="182"/>
    </row>
    <row r="100" spans="2:21" ht="9.75" customHeight="1" x14ac:dyDescent="0.4">
      <c r="B100" s="1"/>
      <c r="C100" s="164" t="str">
        <f t="shared" si="22"/>
        <v>P006</v>
      </c>
      <c r="D100" s="17" t="s">
        <v>373</v>
      </c>
      <c r="E100" s="17">
        <v>6</v>
      </c>
      <c r="F100" s="32">
        <v>3</v>
      </c>
      <c r="G100" s="6">
        <v>1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1</v>
      </c>
      <c r="N100" s="6">
        <v>1</v>
      </c>
      <c r="O100" s="6">
        <v>1</v>
      </c>
      <c r="P100" s="83">
        <f>MIN(F100:O100)</f>
        <v>0</v>
      </c>
      <c r="Q100" s="74">
        <f>E100-P100</f>
        <v>6</v>
      </c>
      <c r="R100" s="75">
        <f>Q100/E100</f>
        <v>1</v>
      </c>
      <c r="T100" s="182"/>
      <c r="U100" s="182"/>
    </row>
    <row r="101" spans="2:21" ht="9.75" customHeight="1" x14ac:dyDescent="0.4">
      <c r="B101" s="1"/>
      <c r="C101" s="164" t="str">
        <f t="shared" si="22"/>
        <v>P006</v>
      </c>
      <c r="D101" s="17" t="s">
        <v>374</v>
      </c>
      <c r="E101" s="17"/>
      <c r="F101" s="32"/>
      <c r="G101" s="6"/>
      <c r="H101" s="6"/>
      <c r="I101" s="6"/>
      <c r="J101" s="6"/>
      <c r="K101" s="6"/>
      <c r="L101" s="6"/>
      <c r="M101" s="6"/>
      <c r="N101" s="6"/>
      <c r="O101" s="31"/>
      <c r="P101" s="32"/>
      <c r="Q101" s="6"/>
      <c r="R101" s="59"/>
      <c r="T101" s="182"/>
      <c r="U101" s="182"/>
    </row>
    <row r="102" spans="2:21" ht="9.75" customHeight="1" x14ac:dyDescent="0.4">
      <c r="B102" s="1"/>
      <c r="C102" s="164" t="str">
        <f t="shared" si="22"/>
        <v>P006</v>
      </c>
      <c r="D102" s="17" t="s">
        <v>374</v>
      </c>
      <c r="E102" s="17"/>
      <c r="F102" s="32"/>
      <c r="G102" s="6"/>
      <c r="H102" s="6"/>
      <c r="I102" s="6"/>
      <c r="J102" s="6"/>
      <c r="K102" s="6"/>
      <c r="L102" s="6"/>
      <c r="M102" s="6"/>
      <c r="N102" s="6"/>
      <c r="O102" s="31"/>
      <c r="P102" s="32"/>
      <c r="Q102" s="6"/>
      <c r="R102" s="59"/>
      <c r="T102" s="182"/>
      <c r="U102" s="182"/>
    </row>
    <row r="103" spans="2:21" ht="9.75" customHeight="1" x14ac:dyDescent="0.4">
      <c r="B103" s="1"/>
      <c r="C103" s="164" t="str">
        <f t="shared" si="22"/>
        <v>P006</v>
      </c>
      <c r="D103" s="17" t="s">
        <v>374</v>
      </c>
      <c r="E103" s="17"/>
      <c r="F103" s="32"/>
      <c r="G103" s="6"/>
      <c r="H103" s="6"/>
      <c r="I103" s="6"/>
      <c r="J103" s="6"/>
      <c r="K103" s="6"/>
      <c r="L103" s="6"/>
      <c r="M103" s="6"/>
      <c r="N103" s="6"/>
      <c r="O103" s="31"/>
      <c r="P103" s="32"/>
      <c r="Q103" s="6"/>
      <c r="R103" s="59"/>
      <c r="T103" s="182"/>
      <c r="U103" s="182"/>
    </row>
    <row r="104" spans="2:21" ht="9.75" customHeight="1" x14ac:dyDescent="0.4">
      <c r="B104" s="1"/>
      <c r="C104" s="164" t="str">
        <f t="shared" si="22"/>
        <v>P006</v>
      </c>
      <c r="D104" s="17" t="s">
        <v>374</v>
      </c>
      <c r="E104" s="17"/>
      <c r="F104" s="32"/>
      <c r="G104" s="6"/>
      <c r="H104" s="6"/>
      <c r="I104" s="6"/>
      <c r="J104" s="6"/>
      <c r="K104" s="6"/>
      <c r="L104" s="6"/>
      <c r="M104" s="6"/>
      <c r="N104" s="6"/>
      <c r="O104" s="31"/>
      <c r="P104" s="32"/>
      <c r="Q104" s="6"/>
      <c r="R104" s="59"/>
      <c r="T104" s="182"/>
      <c r="U104" s="182"/>
    </row>
    <row r="105" spans="2:21" ht="9.75" customHeight="1" x14ac:dyDescent="0.4">
      <c r="B105" s="1"/>
      <c r="C105" s="164" t="str">
        <f t="shared" si="22"/>
        <v>P006</v>
      </c>
      <c r="D105" s="17" t="s">
        <v>374</v>
      </c>
      <c r="E105" s="17"/>
      <c r="F105" s="32"/>
      <c r="G105" s="6"/>
      <c r="H105" s="6"/>
      <c r="I105" s="6"/>
      <c r="J105" s="6"/>
      <c r="K105" s="6"/>
      <c r="L105" s="6"/>
      <c r="M105" s="6"/>
      <c r="N105" s="6"/>
      <c r="O105" s="31"/>
      <c r="P105" s="32"/>
      <c r="Q105" s="6"/>
      <c r="R105" s="59"/>
      <c r="T105" s="182"/>
      <c r="U105" s="182"/>
    </row>
    <row r="106" spans="2:21" ht="9.75" customHeight="1" x14ac:dyDescent="0.4">
      <c r="B106" s="1"/>
      <c r="C106" s="164" t="str">
        <f t="shared" si="22"/>
        <v>P006</v>
      </c>
      <c r="D106" s="17" t="s">
        <v>310</v>
      </c>
      <c r="E106" s="17">
        <v>1</v>
      </c>
      <c r="F106" s="32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83">
        <f>MIN(F106:O106)</f>
        <v>1</v>
      </c>
      <c r="Q106" s="74">
        <f>E106-P106</f>
        <v>0</v>
      </c>
      <c r="R106" s="75">
        <f>Q106/E106</f>
        <v>0</v>
      </c>
      <c r="T106" s="182"/>
      <c r="U106" s="182"/>
    </row>
    <row r="107" spans="2:21" ht="9.75" customHeight="1" x14ac:dyDescent="0.4">
      <c r="B107" s="1"/>
      <c r="C107" s="164" t="str">
        <f t="shared" si="22"/>
        <v>P006</v>
      </c>
      <c r="D107" s="17" t="s">
        <v>311</v>
      </c>
      <c r="E107" s="17"/>
      <c r="F107" s="32"/>
      <c r="G107" s="6"/>
      <c r="H107" s="6"/>
      <c r="I107" s="6"/>
      <c r="J107" s="6"/>
      <c r="K107" s="6"/>
      <c r="L107" s="6"/>
      <c r="M107" s="6"/>
      <c r="N107" s="6"/>
      <c r="O107" s="31"/>
      <c r="P107" s="32"/>
      <c r="Q107" s="6"/>
      <c r="R107" s="59"/>
      <c r="T107" s="182"/>
      <c r="U107" s="182"/>
    </row>
    <row r="108" spans="2:21" ht="9.75" customHeight="1" x14ac:dyDescent="0.4">
      <c r="B108" s="1"/>
      <c r="C108" s="164" t="str">
        <f t="shared" si="22"/>
        <v>P006</v>
      </c>
      <c r="D108" s="17" t="s">
        <v>312</v>
      </c>
      <c r="E108" s="17"/>
      <c r="F108" s="32"/>
      <c r="G108" s="6"/>
      <c r="H108" s="6"/>
      <c r="I108" s="6"/>
      <c r="J108" s="6"/>
      <c r="K108" s="6"/>
      <c r="L108" s="6"/>
      <c r="M108" s="6"/>
      <c r="N108" s="6"/>
      <c r="O108" s="31"/>
      <c r="P108" s="32"/>
      <c r="Q108" s="6"/>
      <c r="R108" s="59"/>
      <c r="T108" s="182"/>
      <c r="U108" s="182"/>
    </row>
    <row r="109" spans="2:21" ht="9.75" customHeight="1" x14ac:dyDescent="0.4">
      <c r="B109" s="1"/>
      <c r="C109" s="164" t="str">
        <f t="shared" si="22"/>
        <v>P006</v>
      </c>
      <c r="D109" s="17" t="s">
        <v>313</v>
      </c>
      <c r="E109" s="17"/>
      <c r="F109" s="32"/>
      <c r="G109" s="6"/>
      <c r="H109" s="6"/>
      <c r="I109" s="6"/>
      <c r="J109" s="6"/>
      <c r="K109" s="6"/>
      <c r="L109" s="6"/>
      <c r="M109" s="6"/>
      <c r="N109" s="6"/>
      <c r="O109" s="31"/>
      <c r="P109" s="32"/>
      <c r="Q109" s="6"/>
      <c r="R109" s="59"/>
      <c r="T109" s="182"/>
      <c r="U109" s="182"/>
    </row>
    <row r="110" spans="2:21" ht="9.75" customHeight="1" x14ac:dyDescent="0.4">
      <c r="B110" s="1"/>
      <c r="C110" s="165" t="str">
        <f t="shared" si="22"/>
        <v>P006</v>
      </c>
      <c r="D110" s="65" t="s">
        <v>314</v>
      </c>
      <c r="E110" s="65">
        <f t="shared" ref="E110:O110" si="23">SUM(E94:E109)</f>
        <v>7</v>
      </c>
      <c r="F110" s="104">
        <f t="shared" si="23"/>
        <v>4</v>
      </c>
      <c r="G110" s="128">
        <f t="shared" si="23"/>
        <v>2</v>
      </c>
      <c r="H110" s="128">
        <f t="shared" si="23"/>
        <v>1</v>
      </c>
      <c r="I110" s="128">
        <f t="shared" si="23"/>
        <v>1</v>
      </c>
      <c r="J110" s="128">
        <f t="shared" si="23"/>
        <v>1</v>
      </c>
      <c r="K110" s="128">
        <f t="shared" si="23"/>
        <v>1</v>
      </c>
      <c r="L110" s="128">
        <f t="shared" si="23"/>
        <v>1</v>
      </c>
      <c r="M110" s="128">
        <f t="shared" si="23"/>
        <v>2</v>
      </c>
      <c r="N110" s="128">
        <f t="shared" si="23"/>
        <v>2</v>
      </c>
      <c r="O110" s="129">
        <f t="shared" si="23"/>
        <v>2</v>
      </c>
      <c r="P110" s="104">
        <f>MIN(F110:O110)</f>
        <v>1</v>
      </c>
      <c r="Q110" s="128">
        <f>E110-P110</f>
        <v>6</v>
      </c>
      <c r="R110" s="72">
        <f>Q110/E110</f>
        <v>0.8571428571428571</v>
      </c>
      <c r="T110" s="182"/>
      <c r="U110" s="182"/>
    </row>
    <row r="111" spans="2:21" ht="9.75" customHeight="1" x14ac:dyDescent="0.4">
      <c r="B111" s="1"/>
      <c r="C111" s="15" t="s">
        <v>158</v>
      </c>
      <c r="D111" s="15" t="s">
        <v>300</v>
      </c>
      <c r="E111" s="15"/>
      <c r="F111" s="73"/>
      <c r="G111" s="108"/>
      <c r="H111" s="108"/>
      <c r="I111" s="108"/>
      <c r="J111" s="108"/>
      <c r="K111" s="108"/>
      <c r="L111" s="108"/>
      <c r="M111" s="108"/>
      <c r="N111" s="108"/>
      <c r="O111" s="109"/>
      <c r="P111" s="73"/>
      <c r="Q111" s="108"/>
      <c r="R111" s="188"/>
      <c r="T111" s="182"/>
      <c r="U111" s="182"/>
    </row>
    <row r="112" spans="2:21" ht="9.75" customHeight="1" x14ac:dyDescent="0.4">
      <c r="B112" s="1"/>
      <c r="C112" s="164" t="str">
        <f t="shared" ref="C112:C128" si="24">C111</f>
        <v>P007</v>
      </c>
      <c r="D112" s="17" t="s">
        <v>301</v>
      </c>
      <c r="E112" s="17"/>
      <c r="F112" s="32"/>
      <c r="G112" s="6"/>
      <c r="H112" s="6"/>
      <c r="I112" s="6"/>
      <c r="J112" s="6"/>
      <c r="K112" s="6"/>
      <c r="L112" s="6"/>
      <c r="M112" s="6"/>
      <c r="N112" s="6"/>
      <c r="O112" s="31"/>
      <c r="P112" s="32"/>
      <c r="Q112" s="6"/>
      <c r="R112" s="59"/>
      <c r="T112" s="182"/>
      <c r="U112" s="182"/>
    </row>
    <row r="113" spans="2:21" ht="9.75" customHeight="1" x14ac:dyDescent="0.4">
      <c r="B113" s="1"/>
      <c r="C113" s="164" t="str">
        <f t="shared" si="24"/>
        <v>P007</v>
      </c>
      <c r="D113" s="17" t="s">
        <v>303</v>
      </c>
      <c r="E113" s="17"/>
      <c r="F113" s="32"/>
      <c r="G113" s="6"/>
      <c r="H113" s="6"/>
      <c r="I113" s="6"/>
      <c r="J113" s="6"/>
      <c r="K113" s="6"/>
      <c r="L113" s="6"/>
      <c r="M113" s="6"/>
      <c r="N113" s="6"/>
      <c r="O113" s="31"/>
      <c r="P113" s="32"/>
      <c r="Q113" s="6"/>
      <c r="R113" s="59"/>
      <c r="T113" s="182"/>
      <c r="U113" s="182"/>
    </row>
    <row r="114" spans="2:21" ht="9.75" customHeight="1" x14ac:dyDescent="0.4">
      <c r="B114" s="1"/>
      <c r="C114" s="164" t="str">
        <f t="shared" si="24"/>
        <v>P007</v>
      </c>
      <c r="D114" s="17" t="s">
        <v>369</v>
      </c>
      <c r="E114" s="17"/>
      <c r="F114" s="32"/>
      <c r="G114" s="6"/>
      <c r="H114" s="6"/>
      <c r="I114" s="6"/>
      <c r="J114" s="6"/>
      <c r="K114" s="6"/>
      <c r="L114" s="6"/>
      <c r="M114" s="6"/>
      <c r="N114" s="6"/>
      <c r="O114" s="31"/>
      <c r="P114" s="32"/>
      <c r="Q114" s="6"/>
      <c r="R114" s="59"/>
      <c r="T114" s="182"/>
      <c r="U114" s="182"/>
    </row>
    <row r="115" spans="2:21" ht="9.75" customHeight="1" x14ac:dyDescent="0.4">
      <c r="B115" s="1"/>
      <c r="C115" s="164" t="str">
        <f t="shared" si="24"/>
        <v>P007</v>
      </c>
      <c r="D115" s="17" t="s">
        <v>369</v>
      </c>
      <c r="E115" s="17"/>
      <c r="F115" s="32"/>
      <c r="G115" s="6"/>
      <c r="H115" s="6"/>
      <c r="I115" s="6"/>
      <c r="J115" s="6"/>
      <c r="K115" s="6"/>
      <c r="L115" s="6"/>
      <c r="M115" s="6"/>
      <c r="N115" s="6"/>
      <c r="O115" s="31"/>
      <c r="P115" s="32"/>
      <c r="Q115" s="6"/>
      <c r="R115" s="59"/>
      <c r="T115" s="182"/>
      <c r="U115" s="182"/>
    </row>
    <row r="116" spans="2:21" ht="9.75" customHeight="1" x14ac:dyDescent="0.4">
      <c r="B116" s="1"/>
      <c r="C116" s="164" t="str">
        <f t="shared" si="24"/>
        <v>P007</v>
      </c>
      <c r="D116" s="17" t="s">
        <v>308</v>
      </c>
      <c r="E116" s="17"/>
      <c r="F116" s="32"/>
      <c r="G116" s="6"/>
      <c r="H116" s="6"/>
      <c r="I116" s="6"/>
      <c r="J116" s="6"/>
      <c r="K116" s="6"/>
      <c r="L116" s="6"/>
      <c r="M116" s="6"/>
      <c r="N116" s="6"/>
      <c r="O116" s="31"/>
      <c r="P116" s="32"/>
      <c r="Q116" s="6"/>
      <c r="R116" s="59"/>
      <c r="T116" s="182"/>
      <c r="U116" s="182"/>
    </row>
    <row r="117" spans="2:21" ht="9.75" customHeight="1" x14ac:dyDescent="0.4">
      <c r="B117" s="1"/>
      <c r="C117" s="164" t="str">
        <f t="shared" si="24"/>
        <v>P007</v>
      </c>
      <c r="D117" s="17" t="s">
        <v>373</v>
      </c>
      <c r="E117" s="17">
        <f>19+12</f>
        <v>31</v>
      </c>
      <c r="F117" s="32">
        <v>23</v>
      </c>
      <c r="G117" s="6">
        <v>8</v>
      </c>
      <c r="H117" s="6">
        <v>0</v>
      </c>
      <c r="I117" s="6">
        <v>0</v>
      </c>
      <c r="J117" s="6">
        <v>3</v>
      </c>
      <c r="K117" s="74">
        <v>1</v>
      </c>
      <c r="L117" s="74">
        <v>4</v>
      </c>
      <c r="M117" s="74">
        <v>10</v>
      </c>
      <c r="N117" s="74">
        <v>15</v>
      </c>
      <c r="O117" s="123">
        <v>19</v>
      </c>
      <c r="P117" s="32">
        <f>MIN(F117:O117)</f>
        <v>0</v>
      </c>
      <c r="Q117" s="6">
        <f>E117-P117</f>
        <v>31</v>
      </c>
      <c r="R117" s="59">
        <f>Q117/E117</f>
        <v>1</v>
      </c>
      <c r="T117" s="182"/>
      <c r="U117" s="182"/>
    </row>
    <row r="118" spans="2:21" ht="9.75" customHeight="1" x14ac:dyDescent="0.4">
      <c r="B118" s="1"/>
      <c r="C118" s="164" t="str">
        <f t="shared" si="24"/>
        <v>P007</v>
      </c>
      <c r="D118" s="17" t="s">
        <v>381</v>
      </c>
      <c r="E118" s="17"/>
      <c r="F118" s="32"/>
      <c r="G118" s="6"/>
      <c r="H118" s="6"/>
      <c r="I118" s="6"/>
      <c r="J118" s="6"/>
      <c r="K118" s="74"/>
      <c r="L118" s="74"/>
      <c r="M118" s="74"/>
      <c r="N118" s="74"/>
      <c r="O118" s="123"/>
      <c r="P118" s="32"/>
      <c r="Q118" s="6"/>
      <c r="R118" s="59"/>
      <c r="T118" s="182"/>
      <c r="U118" s="182"/>
    </row>
    <row r="119" spans="2:21" ht="9.75" customHeight="1" x14ac:dyDescent="0.4">
      <c r="B119" s="1"/>
      <c r="C119" s="164" t="str">
        <f t="shared" si="24"/>
        <v>P007</v>
      </c>
      <c r="D119" s="17" t="s">
        <v>372</v>
      </c>
      <c r="E119" s="17">
        <v>2</v>
      </c>
      <c r="F119" s="32">
        <v>1</v>
      </c>
      <c r="G119" s="6">
        <v>1</v>
      </c>
      <c r="H119" s="6">
        <v>0</v>
      </c>
      <c r="I119" s="6">
        <v>0</v>
      </c>
      <c r="J119" s="6">
        <v>0</v>
      </c>
      <c r="K119" s="58">
        <v>1</v>
      </c>
      <c r="L119" s="58">
        <v>1</v>
      </c>
      <c r="M119" s="58">
        <v>1</v>
      </c>
      <c r="N119" s="58">
        <v>2</v>
      </c>
      <c r="O119" s="60">
        <v>2</v>
      </c>
      <c r="P119" s="32">
        <f>MIN(F119:O119)</f>
        <v>0</v>
      </c>
      <c r="Q119" s="6">
        <f>E119-P119</f>
        <v>2</v>
      </c>
      <c r="R119" s="59">
        <f>Q119/E119</f>
        <v>1</v>
      </c>
      <c r="T119" s="182"/>
      <c r="U119" s="182"/>
    </row>
    <row r="120" spans="2:21" ht="9.75" customHeight="1" x14ac:dyDescent="0.4">
      <c r="B120" s="1"/>
      <c r="C120" s="164" t="str">
        <f t="shared" si="24"/>
        <v>P007</v>
      </c>
      <c r="D120" s="17" t="s">
        <v>374</v>
      </c>
      <c r="E120" s="17"/>
      <c r="F120" s="32"/>
      <c r="G120" s="6"/>
      <c r="H120" s="6"/>
      <c r="I120" s="6"/>
      <c r="J120" s="6"/>
      <c r="K120" s="192"/>
      <c r="L120" s="192"/>
      <c r="M120" s="192"/>
      <c r="N120" s="192"/>
      <c r="O120" s="193"/>
      <c r="P120" s="32"/>
      <c r="Q120" s="6"/>
      <c r="R120" s="59"/>
      <c r="T120" s="182"/>
      <c r="U120" s="182"/>
    </row>
    <row r="121" spans="2:21" ht="9.75" customHeight="1" x14ac:dyDescent="0.4">
      <c r="B121" s="1"/>
      <c r="C121" s="164" t="str">
        <f t="shared" si="24"/>
        <v>P007</v>
      </c>
      <c r="D121" s="17" t="s">
        <v>374</v>
      </c>
      <c r="E121" s="17"/>
      <c r="F121" s="32"/>
      <c r="G121" s="6"/>
      <c r="H121" s="6"/>
      <c r="I121" s="6"/>
      <c r="J121" s="6"/>
      <c r="K121" s="192"/>
      <c r="L121" s="192"/>
      <c r="M121" s="192"/>
      <c r="N121" s="192"/>
      <c r="O121" s="193"/>
      <c r="P121" s="32"/>
      <c r="Q121" s="6"/>
      <c r="R121" s="59"/>
      <c r="T121" s="182"/>
      <c r="U121" s="182"/>
    </row>
    <row r="122" spans="2:21" ht="9.75" customHeight="1" x14ac:dyDescent="0.4">
      <c r="B122" s="1"/>
      <c r="C122" s="164" t="str">
        <f t="shared" si="24"/>
        <v>P007</v>
      </c>
      <c r="D122" s="17" t="s">
        <v>374</v>
      </c>
      <c r="E122" s="17"/>
      <c r="F122" s="32"/>
      <c r="G122" s="6"/>
      <c r="H122" s="6"/>
      <c r="I122" s="6"/>
      <c r="J122" s="6"/>
      <c r="K122" s="192"/>
      <c r="L122" s="192"/>
      <c r="M122" s="192"/>
      <c r="N122" s="192"/>
      <c r="O122" s="193"/>
      <c r="P122" s="32"/>
      <c r="Q122" s="6"/>
      <c r="R122" s="59"/>
      <c r="T122" s="182"/>
      <c r="U122" s="182"/>
    </row>
    <row r="123" spans="2:21" ht="9.75" customHeight="1" x14ac:dyDescent="0.4">
      <c r="B123" s="1"/>
      <c r="C123" s="164" t="str">
        <f t="shared" si="24"/>
        <v>P007</v>
      </c>
      <c r="D123" s="17" t="s">
        <v>310</v>
      </c>
      <c r="E123" s="17">
        <v>2</v>
      </c>
      <c r="F123" s="32">
        <v>2</v>
      </c>
      <c r="G123" s="6">
        <v>2</v>
      </c>
      <c r="H123" s="6">
        <v>2</v>
      </c>
      <c r="I123" s="6">
        <v>2</v>
      </c>
      <c r="J123" s="6">
        <v>2</v>
      </c>
      <c r="K123" s="58">
        <v>2</v>
      </c>
      <c r="L123" s="58">
        <v>2</v>
      </c>
      <c r="M123" s="58">
        <v>2</v>
      </c>
      <c r="N123" s="58">
        <v>2</v>
      </c>
      <c r="O123" s="60">
        <v>2</v>
      </c>
      <c r="P123" s="32"/>
      <c r="Q123" s="6"/>
      <c r="R123" s="59"/>
      <c r="T123" s="182"/>
      <c r="U123" s="182"/>
    </row>
    <row r="124" spans="2:21" ht="9.75" customHeight="1" x14ac:dyDescent="0.4">
      <c r="B124" s="1"/>
      <c r="C124" s="164" t="str">
        <f t="shared" si="24"/>
        <v>P007</v>
      </c>
      <c r="D124" s="17" t="s">
        <v>311</v>
      </c>
      <c r="E124" s="17">
        <v>2</v>
      </c>
      <c r="F124" s="32">
        <v>0</v>
      </c>
      <c r="G124" s="6">
        <v>1</v>
      </c>
      <c r="H124" s="6">
        <v>1</v>
      </c>
      <c r="I124" s="6">
        <v>1</v>
      </c>
      <c r="J124" s="6">
        <v>2</v>
      </c>
      <c r="K124" s="74">
        <v>1</v>
      </c>
      <c r="L124" s="74">
        <v>1</v>
      </c>
      <c r="M124" s="74">
        <v>1</v>
      </c>
      <c r="N124" s="74">
        <v>1</v>
      </c>
      <c r="O124" s="123">
        <v>1</v>
      </c>
      <c r="P124" s="32">
        <f>MIN(F124:O124)</f>
        <v>0</v>
      </c>
      <c r="Q124" s="6">
        <f>E124-P124</f>
        <v>2</v>
      </c>
      <c r="R124" s="59">
        <f>Q124/E124</f>
        <v>1</v>
      </c>
      <c r="T124" s="182"/>
      <c r="U124" s="182"/>
    </row>
    <row r="125" spans="2:21" ht="9.75" customHeight="1" x14ac:dyDescent="0.4">
      <c r="B125" s="1"/>
      <c r="C125" s="164" t="str">
        <f t="shared" si="24"/>
        <v>P007</v>
      </c>
      <c r="D125" s="17" t="s">
        <v>312</v>
      </c>
      <c r="E125" s="17"/>
      <c r="F125" s="32"/>
      <c r="G125" s="6"/>
      <c r="H125" s="6"/>
      <c r="I125" s="6"/>
      <c r="J125" s="6"/>
      <c r="K125" s="192"/>
      <c r="L125" s="192"/>
      <c r="M125" s="192"/>
      <c r="N125" s="192"/>
      <c r="O125" s="193"/>
      <c r="P125" s="32"/>
      <c r="Q125" s="6"/>
      <c r="R125" s="59"/>
      <c r="T125" s="182"/>
      <c r="U125" s="182"/>
    </row>
    <row r="126" spans="2:21" ht="9.75" customHeight="1" x14ac:dyDescent="0.4">
      <c r="B126" s="1"/>
      <c r="C126" s="164" t="str">
        <f t="shared" si="24"/>
        <v>P007</v>
      </c>
      <c r="D126" s="17" t="s">
        <v>313</v>
      </c>
      <c r="E126" s="17">
        <v>1</v>
      </c>
      <c r="F126" s="83">
        <v>1</v>
      </c>
      <c r="G126" s="74">
        <v>1</v>
      </c>
      <c r="H126" s="74">
        <v>1</v>
      </c>
      <c r="I126" s="74">
        <v>0</v>
      </c>
      <c r="J126" s="74">
        <v>1</v>
      </c>
      <c r="K126" s="6">
        <v>0</v>
      </c>
      <c r="L126" s="6">
        <v>1</v>
      </c>
      <c r="M126" s="6">
        <v>1</v>
      </c>
      <c r="N126" s="6">
        <v>1</v>
      </c>
      <c r="O126" s="6">
        <v>1</v>
      </c>
      <c r="P126" s="54">
        <f>MIN(F126:O126)</f>
        <v>0</v>
      </c>
      <c r="Q126" s="58">
        <f>E126-P126</f>
        <v>1</v>
      </c>
      <c r="R126" s="59">
        <f>Q126/E126</f>
        <v>1</v>
      </c>
      <c r="T126" s="182"/>
      <c r="U126" s="182"/>
    </row>
    <row r="127" spans="2:21" ht="9.75" customHeight="1" x14ac:dyDescent="0.4">
      <c r="B127" s="1"/>
      <c r="C127" s="164" t="str">
        <f t="shared" si="24"/>
        <v>P007</v>
      </c>
      <c r="D127" s="17" t="s">
        <v>382</v>
      </c>
      <c r="E127" s="17"/>
      <c r="F127" s="32"/>
      <c r="G127" s="6"/>
      <c r="H127" s="6"/>
      <c r="I127" s="6"/>
      <c r="J127" s="6"/>
      <c r="K127" s="6"/>
      <c r="L127" s="6"/>
      <c r="M127" s="6"/>
      <c r="N127" s="6"/>
      <c r="O127" s="31"/>
      <c r="P127" s="32"/>
      <c r="Q127" s="6"/>
      <c r="R127" s="59"/>
      <c r="T127" s="182"/>
      <c r="U127" s="182"/>
    </row>
    <row r="128" spans="2:21" ht="9.75" customHeight="1" x14ac:dyDescent="0.4">
      <c r="B128" s="1"/>
      <c r="C128" s="165" t="str">
        <f t="shared" si="24"/>
        <v>P007</v>
      </c>
      <c r="D128" s="65" t="s">
        <v>314</v>
      </c>
      <c r="E128" s="65">
        <f>SUM(E111:E127)</f>
        <v>38</v>
      </c>
      <c r="F128" s="104">
        <f t="shared" ref="F128:O128" si="25">SUM(F111:F126)</f>
        <v>27</v>
      </c>
      <c r="G128" s="128">
        <f t="shared" si="25"/>
        <v>13</v>
      </c>
      <c r="H128" s="128">
        <f t="shared" si="25"/>
        <v>4</v>
      </c>
      <c r="I128" s="128">
        <f t="shared" si="25"/>
        <v>3</v>
      </c>
      <c r="J128" s="128">
        <f t="shared" si="25"/>
        <v>8</v>
      </c>
      <c r="K128" s="128">
        <f t="shared" si="25"/>
        <v>5</v>
      </c>
      <c r="L128" s="128">
        <f t="shared" si="25"/>
        <v>9</v>
      </c>
      <c r="M128" s="128">
        <f t="shared" si="25"/>
        <v>15</v>
      </c>
      <c r="N128" s="128">
        <f t="shared" si="25"/>
        <v>21</v>
      </c>
      <c r="O128" s="129">
        <f t="shared" si="25"/>
        <v>25</v>
      </c>
      <c r="P128" s="104">
        <f>MIN(F128:O128)</f>
        <v>3</v>
      </c>
      <c r="Q128" s="128">
        <f>E128-P128</f>
        <v>35</v>
      </c>
      <c r="R128" s="72">
        <f>Q128/E128</f>
        <v>0.92105263157894735</v>
      </c>
      <c r="T128" s="182"/>
      <c r="U128" s="182"/>
    </row>
    <row r="129" spans="2:21" ht="9.75" customHeight="1" x14ac:dyDescent="0.4">
      <c r="B129" s="1"/>
      <c r="C129" s="15" t="s">
        <v>172</v>
      </c>
      <c r="D129" s="15" t="s">
        <v>300</v>
      </c>
      <c r="E129" s="15"/>
      <c r="F129" s="73"/>
      <c r="G129" s="108"/>
      <c r="H129" s="108"/>
      <c r="I129" s="108"/>
      <c r="J129" s="108"/>
      <c r="K129" s="108"/>
      <c r="L129" s="108"/>
      <c r="M129" s="108"/>
      <c r="N129" s="108"/>
      <c r="O129" s="109"/>
      <c r="P129" s="73"/>
      <c r="Q129" s="108"/>
      <c r="R129" s="188"/>
      <c r="T129" s="182"/>
      <c r="U129" s="182"/>
    </row>
    <row r="130" spans="2:21" ht="9.75" customHeight="1" x14ac:dyDescent="0.4">
      <c r="B130" s="1"/>
      <c r="C130" s="164" t="str">
        <f t="shared" ref="C130:C145" si="26">C129</f>
        <v>P008</v>
      </c>
      <c r="D130" s="17" t="s">
        <v>301</v>
      </c>
      <c r="E130" s="17"/>
      <c r="F130" s="32"/>
      <c r="G130" s="6"/>
      <c r="H130" s="6"/>
      <c r="I130" s="6"/>
      <c r="J130" s="6"/>
      <c r="K130" s="6"/>
      <c r="L130" s="6"/>
      <c r="M130" s="6"/>
      <c r="N130" s="6"/>
      <c r="O130" s="31"/>
      <c r="P130" s="32"/>
      <c r="Q130" s="6"/>
      <c r="R130" s="59"/>
      <c r="T130" s="182"/>
      <c r="U130" s="182"/>
    </row>
    <row r="131" spans="2:21" ht="9.75" customHeight="1" x14ac:dyDescent="0.4">
      <c r="B131" s="1"/>
      <c r="C131" s="164" t="str">
        <f t="shared" si="26"/>
        <v>P008</v>
      </c>
      <c r="D131" s="17" t="s">
        <v>303</v>
      </c>
      <c r="E131" s="17"/>
      <c r="F131" s="32"/>
      <c r="G131" s="6"/>
      <c r="H131" s="6"/>
      <c r="I131" s="6"/>
      <c r="J131" s="6"/>
      <c r="K131" s="6"/>
      <c r="L131" s="6"/>
      <c r="M131" s="6"/>
      <c r="N131" s="6"/>
      <c r="O131" s="31"/>
      <c r="P131" s="32"/>
      <c r="Q131" s="6"/>
      <c r="R131" s="59"/>
      <c r="T131" s="182"/>
      <c r="U131" s="182"/>
    </row>
    <row r="132" spans="2:21" ht="9.75" customHeight="1" x14ac:dyDescent="0.4">
      <c r="B132" s="1"/>
      <c r="C132" s="164" t="str">
        <f t="shared" si="26"/>
        <v>P008</v>
      </c>
      <c r="D132" s="17" t="s">
        <v>369</v>
      </c>
      <c r="E132" s="17"/>
      <c r="F132" s="32"/>
      <c r="G132" s="6"/>
      <c r="H132" s="6"/>
      <c r="I132" s="6"/>
      <c r="J132" s="6"/>
      <c r="K132" s="6"/>
      <c r="L132" s="6"/>
      <c r="M132" s="6"/>
      <c r="N132" s="6"/>
      <c r="O132" s="31"/>
      <c r="P132" s="32"/>
      <c r="Q132" s="6"/>
      <c r="R132" s="59"/>
      <c r="T132" s="182"/>
      <c r="U132" s="182"/>
    </row>
    <row r="133" spans="2:21" ht="9.75" customHeight="1" x14ac:dyDescent="0.4">
      <c r="B133" s="1"/>
      <c r="C133" s="164" t="str">
        <f t="shared" si="26"/>
        <v>P008</v>
      </c>
      <c r="D133" s="17" t="s">
        <v>369</v>
      </c>
      <c r="E133" s="17"/>
      <c r="F133" s="32"/>
      <c r="G133" s="6"/>
      <c r="H133" s="6"/>
      <c r="I133" s="6"/>
      <c r="J133" s="6"/>
      <c r="K133" s="6"/>
      <c r="L133" s="6"/>
      <c r="M133" s="6"/>
      <c r="N133" s="6"/>
      <c r="O133" s="31"/>
      <c r="P133" s="32"/>
      <c r="Q133" s="6"/>
      <c r="R133" s="59"/>
      <c r="T133" s="182"/>
      <c r="U133" s="182"/>
    </row>
    <row r="134" spans="2:21" ht="9.75" customHeight="1" x14ac:dyDescent="0.4">
      <c r="B134" s="1"/>
      <c r="C134" s="164" t="str">
        <f t="shared" si="26"/>
        <v>P008</v>
      </c>
      <c r="D134" s="17" t="s">
        <v>308</v>
      </c>
      <c r="E134" s="17"/>
      <c r="F134" s="32"/>
      <c r="G134" s="6"/>
      <c r="H134" s="6"/>
      <c r="I134" s="6"/>
      <c r="J134" s="6"/>
      <c r="K134" s="6"/>
      <c r="L134" s="6"/>
      <c r="M134" s="6"/>
      <c r="N134" s="6"/>
      <c r="O134" s="31"/>
      <c r="P134" s="32"/>
      <c r="Q134" s="6"/>
      <c r="R134" s="59"/>
      <c r="T134" s="182"/>
      <c r="U134" s="182"/>
    </row>
    <row r="135" spans="2:21" ht="9.75" customHeight="1" x14ac:dyDescent="0.4">
      <c r="B135" s="1"/>
      <c r="C135" s="164" t="str">
        <f t="shared" si="26"/>
        <v>P008</v>
      </c>
      <c r="D135" s="17" t="s">
        <v>373</v>
      </c>
      <c r="E135" s="17">
        <v>26</v>
      </c>
      <c r="F135" s="32">
        <v>8</v>
      </c>
      <c r="G135" s="6">
        <v>0</v>
      </c>
      <c r="H135" s="6">
        <v>0</v>
      </c>
      <c r="I135" s="6">
        <v>0</v>
      </c>
      <c r="J135" s="6">
        <v>0</v>
      </c>
      <c r="K135" s="74">
        <v>0</v>
      </c>
      <c r="L135" s="74">
        <v>1</v>
      </c>
      <c r="M135" s="74">
        <v>1</v>
      </c>
      <c r="N135" s="74">
        <v>2</v>
      </c>
      <c r="O135" s="123">
        <v>5</v>
      </c>
      <c r="P135" s="32">
        <f>MIN(F135:O135)</f>
        <v>0</v>
      </c>
      <c r="Q135" s="6">
        <f>E135-P135</f>
        <v>26</v>
      </c>
      <c r="R135" s="59">
        <f>Q135/E135</f>
        <v>1</v>
      </c>
      <c r="T135" s="182"/>
      <c r="U135" s="182"/>
    </row>
    <row r="136" spans="2:21" ht="9.75" customHeight="1" x14ac:dyDescent="0.4">
      <c r="B136" s="1"/>
      <c r="C136" s="164" t="str">
        <f t="shared" si="26"/>
        <v>P008</v>
      </c>
      <c r="D136" s="17" t="s">
        <v>374</v>
      </c>
      <c r="E136" s="17"/>
      <c r="F136" s="32"/>
      <c r="G136" s="6"/>
      <c r="H136" s="6"/>
      <c r="I136" s="6"/>
      <c r="J136" s="6"/>
      <c r="K136" s="192"/>
      <c r="L136" s="192"/>
      <c r="M136" s="192"/>
      <c r="N136" s="192"/>
      <c r="O136" s="193"/>
      <c r="P136" s="32"/>
      <c r="Q136" s="6"/>
      <c r="R136" s="59"/>
      <c r="T136" s="182"/>
      <c r="U136" s="182"/>
    </row>
    <row r="137" spans="2:21" ht="9.75" customHeight="1" x14ac:dyDescent="0.4">
      <c r="B137" s="1"/>
      <c r="C137" s="164" t="str">
        <f t="shared" si="26"/>
        <v>P008</v>
      </c>
      <c r="D137" s="17" t="s">
        <v>374</v>
      </c>
      <c r="E137" s="17"/>
      <c r="F137" s="32"/>
      <c r="G137" s="6"/>
      <c r="H137" s="6"/>
      <c r="I137" s="6"/>
      <c r="J137" s="6"/>
      <c r="K137" s="192"/>
      <c r="L137" s="192"/>
      <c r="M137" s="192"/>
      <c r="N137" s="192"/>
      <c r="O137" s="193"/>
      <c r="P137" s="32"/>
      <c r="Q137" s="6"/>
      <c r="R137" s="59"/>
      <c r="T137" s="182"/>
      <c r="U137" s="182"/>
    </row>
    <row r="138" spans="2:21" ht="9.75" customHeight="1" x14ac:dyDescent="0.4">
      <c r="B138" s="1"/>
      <c r="C138" s="164" t="str">
        <f t="shared" si="26"/>
        <v>P008</v>
      </c>
      <c r="D138" s="17" t="s">
        <v>374</v>
      </c>
      <c r="E138" s="17"/>
      <c r="F138" s="32"/>
      <c r="G138" s="6"/>
      <c r="H138" s="6"/>
      <c r="I138" s="6"/>
      <c r="J138" s="6"/>
      <c r="K138" s="192"/>
      <c r="L138" s="192"/>
      <c r="M138" s="192"/>
      <c r="N138" s="192"/>
      <c r="O138" s="193"/>
      <c r="P138" s="32"/>
      <c r="Q138" s="6"/>
      <c r="R138" s="59"/>
      <c r="T138" s="182"/>
      <c r="U138" s="182"/>
    </row>
    <row r="139" spans="2:21" ht="9.75" customHeight="1" x14ac:dyDescent="0.4">
      <c r="B139" s="1"/>
      <c r="C139" s="164" t="str">
        <f t="shared" si="26"/>
        <v>P008</v>
      </c>
      <c r="D139" s="17" t="s">
        <v>374</v>
      </c>
      <c r="E139" s="17"/>
      <c r="F139" s="32"/>
      <c r="G139" s="6"/>
      <c r="H139" s="6"/>
      <c r="I139" s="6"/>
      <c r="J139" s="6"/>
      <c r="K139" s="192"/>
      <c r="L139" s="192"/>
      <c r="M139" s="192"/>
      <c r="N139" s="192"/>
      <c r="O139" s="193"/>
      <c r="P139" s="32"/>
      <c r="Q139" s="6"/>
      <c r="R139" s="59"/>
      <c r="T139" s="182"/>
      <c r="U139" s="182"/>
    </row>
    <row r="140" spans="2:21" ht="9.75" customHeight="1" x14ac:dyDescent="0.4">
      <c r="B140" s="1"/>
      <c r="C140" s="164" t="str">
        <f t="shared" si="26"/>
        <v>P008</v>
      </c>
      <c r="D140" s="17" t="s">
        <v>374</v>
      </c>
      <c r="E140" s="17"/>
      <c r="F140" s="32"/>
      <c r="G140" s="6"/>
      <c r="H140" s="6"/>
      <c r="I140" s="6"/>
      <c r="J140" s="6"/>
      <c r="K140" s="192"/>
      <c r="L140" s="192"/>
      <c r="M140" s="192"/>
      <c r="N140" s="192"/>
      <c r="O140" s="193"/>
      <c r="P140" s="32"/>
      <c r="Q140" s="6"/>
      <c r="R140" s="59"/>
      <c r="T140" s="182"/>
      <c r="U140" s="182"/>
    </row>
    <row r="141" spans="2:21" ht="9.75" customHeight="1" x14ac:dyDescent="0.4">
      <c r="B141" s="1"/>
      <c r="C141" s="164" t="str">
        <f t="shared" si="26"/>
        <v>P008</v>
      </c>
      <c r="D141" s="17" t="s">
        <v>310</v>
      </c>
      <c r="E141" s="17">
        <v>2</v>
      </c>
      <c r="F141" s="8">
        <v>2</v>
      </c>
      <c r="G141" s="6">
        <v>1</v>
      </c>
      <c r="H141" s="6">
        <v>2</v>
      </c>
      <c r="I141" s="6">
        <v>2</v>
      </c>
      <c r="J141" s="6">
        <v>2</v>
      </c>
      <c r="K141" s="6">
        <v>2</v>
      </c>
      <c r="L141" s="6">
        <v>2</v>
      </c>
      <c r="M141" s="6">
        <v>2</v>
      </c>
      <c r="N141" s="6">
        <v>2</v>
      </c>
      <c r="O141" s="123">
        <v>2</v>
      </c>
      <c r="P141" s="32">
        <f>MIN(F141:O141)</f>
        <v>1</v>
      </c>
      <c r="Q141" s="6">
        <f>E141-P141</f>
        <v>1</v>
      </c>
      <c r="R141" s="59">
        <f>Q141/E141</f>
        <v>0.5</v>
      </c>
      <c r="T141" s="182"/>
      <c r="U141" s="182"/>
    </row>
    <row r="142" spans="2:21" ht="9.75" customHeight="1" x14ac:dyDescent="0.4">
      <c r="B142" s="1"/>
      <c r="C142" s="164" t="str">
        <f t="shared" si="26"/>
        <v>P008</v>
      </c>
      <c r="D142" s="17" t="s">
        <v>311</v>
      </c>
      <c r="E142" s="17"/>
      <c r="F142" s="32"/>
      <c r="G142" s="6"/>
      <c r="H142" s="6"/>
      <c r="I142" s="6"/>
      <c r="J142" s="6"/>
      <c r="K142" s="192"/>
      <c r="L142" s="192"/>
      <c r="M142" s="192"/>
      <c r="N142" s="192"/>
      <c r="O142" s="193"/>
      <c r="P142" s="32"/>
      <c r="Q142" s="6"/>
      <c r="R142" s="59"/>
      <c r="T142" s="182"/>
      <c r="U142" s="182"/>
    </row>
    <row r="143" spans="2:21" ht="9.75" customHeight="1" x14ac:dyDescent="0.4">
      <c r="B143" s="1"/>
      <c r="C143" s="164" t="str">
        <f t="shared" si="26"/>
        <v>P008</v>
      </c>
      <c r="D143" s="17" t="s">
        <v>312</v>
      </c>
      <c r="E143" s="17"/>
      <c r="F143" s="32"/>
      <c r="G143" s="6"/>
      <c r="H143" s="6"/>
      <c r="I143" s="6"/>
      <c r="J143" s="6"/>
      <c r="K143" s="192"/>
      <c r="L143" s="192"/>
      <c r="M143" s="192"/>
      <c r="N143" s="192"/>
      <c r="O143" s="193"/>
      <c r="P143" s="32"/>
      <c r="Q143" s="6"/>
      <c r="R143" s="59"/>
      <c r="T143" s="182"/>
      <c r="U143" s="182"/>
    </row>
    <row r="144" spans="2:21" ht="9.75" customHeight="1" x14ac:dyDescent="0.4">
      <c r="B144" s="1"/>
      <c r="C144" s="164" t="str">
        <f t="shared" si="26"/>
        <v>P008</v>
      </c>
      <c r="D144" s="17" t="s">
        <v>313</v>
      </c>
      <c r="E144" s="17">
        <v>1</v>
      </c>
      <c r="F144" s="8">
        <v>0</v>
      </c>
      <c r="G144" s="6">
        <v>0</v>
      </c>
      <c r="H144" s="6">
        <v>0</v>
      </c>
      <c r="I144" s="6">
        <v>0</v>
      </c>
      <c r="J144" s="6">
        <v>0</v>
      </c>
      <c r="K144" s="194">
        <v>0</v>
      </c>
      <c r="L144" s="194">
        <v>1</v>
      </c>
      <c r="M144" s="194">
        <v>1</v>
      </c>
      <c r="N144" s="194">
        <v>1</v>
      </c>
      <c r="O144" s="195">
        <v>1</v>
      </c>
      <c r="P144" s="32">
        <f t="shared" ref="P144:P145" si="27">MIN(F144:O144)</f>
        <v>0</v>
      </c>
      <c r="Q144" s="6">
        <f t="shared" ref="Q144:Q145" si="28">E144-P144</f>
        <v>1</v>
      </c>
      <c r="R144" s="59">
        <f t="shared" ref="R144:R145" si="29">Q144/E144</f>
        <v>1</v>
      </c>
      <c r="T144" s="182"/>
      <c r="U144" s="182"/>
    </row>
    <row r="145" spans="2:21" ht="9.75" customHeight="1" x14ac:dyDescent="0.4">
      <c r="B145" s="1"/>
      <c r="C145" s="165" t="str">
        <f t="shared" si="26"/>
        <v>P008</v>
      </c>
      <c r="D145" s="65" t="s">
        <v>314</v>
      </c>
      <c r="E145" s="65">
        <f t="shared" ref="E145:O145" si="30">SUM(E129:E144)</f>
        <v>29</v>
      </c>
      <c r="F145" s="104">
        <f t="shared" si="30"/>
        <v>10</v>
      </c>
      <c r="G145" s="128">
        <f t="shared" si="30"/>
        <v>1</v>
      </c>
      <c r="H145" s="128">
        <f t="shared" si="30"/>
        <v>2</v>
      </c>
      <c r="I145" s="128">
        <f t="shared" si="30"/>
        <v>2</v>
      </c>
      <c r="J145" s="128">
        <f t="shared" si="30"/>
        <v>2</v>
      </c>
      <c r="K145" s="128">
        <f t="shared" si="30"/>
        <v>2</v>
      </c>
      <c r="L145" s="128">
        <f t="shared" si="30"/>
        <v>4</v>
      </c>
      <c r="M145" s="128">
        <f t="shared" si="30"/>
        <v>4</v>
      </c>
      <c r="N145" s="128">
        <f t="shared" si="30"/>
        <v>5</v>
      </c>
      <c r="O145" s="129">
        <f t="shared" si="30"/>
        <v>8</v>
      </c>
      <c r="P145" s="104">
        <f t="shared" si="27"/>
        <v>1</v>
      </c>
      <c r="Q145" s="128">
        <f t="shared" si="28"/>
        <v>28</v>
      </c>
      <c r="R145" s="72">
        <f t="shared" si="29"/>
        <v>0.96551724137931039</v>
      </c>
      <c r="T145" s="182"/>
      <c r="U145" s="182"/>
    </row>
    <row r="146" spans="2:21" ht="9.75" customHeight="1" x14ac:dyDescent="0.4">
      <c r="B146" s="1"/>
      <c r="C146" s="15" t="s">
        <v>47</v>
      </c>
      <c r="D146" s="15" t="s">
        <v>300</v>
      </c>
      <c r="E146" s="15"/>
      <c r="F146" s="73"/>
      <c r="G146" s="108"/>
      <c r="H146" s="108"/>
      <c r="I146" s="108"/>
      <c r="J146" s="108"/>
      <c r="K146" s="108"/>
      <c r="L146" s="108"/>
      <c r="M146" s="108"/>
      <c r="N146" s="108"/>
      <c r="O146" s="109"/>
      <c r="P146" s="73"/>
      <c r="Q146" s="108"/>
      <c r="R146" s="188"/>
      <c r="T146" s="182"/>
      <c r="U146" s="182"/>
    </row>
    <row r="147" spans="2:21" ht="9.75" customHeight="1" x14ac:dyDescent="0.4">
      <c r="B147" s="1"/>
      <c r="C147" s="164" t="str">
        <f t="shared" ref="C147:C162" si="31">C146</f>
        <v>P009</v>
      </c>
      <c r="D147" s="17" t="s">
        <v>301</v>
      </c>
      <c r="E147" s="17"/>
      <c r="F147" s="32"/>
      <c r="G147" s="6"/>
      <c r="H147" s="6"/>
      <c r="I147" s="6"/>
      <c r="J147" s="6"/>
      <c r="K147" s="6"/>
      <c r="L147" s="6"/>
      <c r="M147" s="6"/>
      <c r="N147" s="6"/>
      <c r="O147" s="31"/>
      <c r="P147" s="32"/>
      <c r="Q147" s="6"/>
      <c r="R147" s="59"/>
      <c r="T147" s="182"/>
      <c r="U147" s="182"/>
    </row>
    <row r="148" spans="2:21" ht="9.75" customHeight="1" x14ac:dyDescent="0.4">
      <c r="B148" s="1"/>
      <c r="C148" s="164" t="str">
        <f t="shared" si="31"/>
        <v>P009</v>
      </c>
      <c r="D148" s="17" t="s">
        <v>303</v>
      </c>
      <c r="E148" s="17"/>
      <c r="F148" s="32"/>
      <c r="G148" s="6"/>
      <c r="H148" s="6"/>
      <c r="I148" s="6"/>
      <c r="J148" s="6"/>
      <c r="K148" s="6"/>
      <c r="L148" s="6"/>
      <c r="M148" s="6"/>
      <c r="N148" s="6"/>
      <c r="O148" s="31"/>
      <c r="P148" s="32"/>
      <c r="Q148" s="6"/>
      <c r="R148" s="59"/>
      <c r="T148" s="182"/>
      <c r="U148" s="182"/>
    </row>
    <row r="149" spans="2:21" ht="9.75" customHeight="1" x14ac:dyDescent="0.4">
      <c r="B149" s="1"/>
      <c r="C149" s="164" t="str">
        <f t="shared" si="31"/>
        <v>P009</v>
      </c>
      <c r="D149" s="17" t="s">
        <v>369</v>
      </c>
      <c r="E149" s="17"/>
      <c r="F149" s="32"/>
      <c r="G149" s="6"/>
      <c r="H149" s="6"/>
      <c r="I149" s="6"/>
      <c r="J149" s="6"/>
      <c r="K149" s="6"/>
      <c r="L149" s="6"/>
      <c r="M149" s="6"/>
      <c r="N149" s="6"/>
      <c r="O149" s="31"/>
      <c r="P149" s="32"/>
      <c r="Q149" s="6"/>
      <c r="R149" s="59"/>
      <c r="T149" s="182"/>
      <c r="U149" s="182"/>
    </row>
    <row r="150" spans="2:21" ht="9.75" customHeight="1" x14ac:dyDescent="0.4">
      <c r="B150" s="1"/>
      <c r="C150" s="164" t="str">
        <f t="shared" si="31"/>
        <v>P009</v>
      </c>
      <c r="D150" s="17" t="s">
        <v>369</v>
      </c>
      <c r="E150" s="17"/>
      <c r="F150" s="32"/>
      <c r="G150" s="6"/>
      <c r="H150" s="6"/>
      <c r="I150" s="6"/>
      <c r="J150" s="6"/>
      <c r="K150" s="6"/>
      <c r="L150" s="6"/>
      <c r="M150" s="6"/>
      <c r="N150" s="6"/>
      <c r="O150" s="31"/>
      <c r="P150" s="32"/>
      <c r="Q150" s="6"/>
      <c r="R150" s="59"/>
      <c r="T150" s="182"/>
      <c r="U150" s="182"/>
    </row>
    <row r="151" spans="2:21" ht="9.75" customHeight="1" x14ac:dyDescent="0.4">
      <c r="B151" s="1"/>
      <c r="C151" s="164" t="str">
        <f t="shared" si="31"/>
        <v>P009</v>
      </c>
      <c r="D151" s="17" t="s">
        <v>308</v>
      </c>
      <c r="E151" s="17"/>
      <c r="F151" s="32"/>
      <c r="G151" s="6"/>
      <c r="H151" s="6"/>
      <c r="I151" s="6"/>
      <c r="J151" s="6"/>
      <c r="K151" s="6"/>
      <c r="L151" s="6"/>
      <c r="M151" s="6"/>
      <c r="N151" s="6"/>
      <c r="O151" s="31"/>
      <c r="P151" s="32"/>
      <c r="Q151" s="6"/>
      <c r="R151" s="59"/>
      <c r="T151" s="182"/>
      <c r="U151" s="182"/>
    </row>
    <row r="152" spans="2:21" ht="9.75" customHeight="1" x14ac:dyDescent="0.4">
      <c r="B152" s="1"/>
      <c r="C152" s="164" t="str">
        <f t="shared" si="31"/>
        <v>P009</v>
      </c>
      <c r="D152" s="17" t="s">
        <v>374</v>
      </c>
      <c r="E152" s="17"/>
      <c r="F152" s="32"/>
      <c r="G152" s="6"/>
      <c r="H152" s="6"/>
      <c r="I152" s="6"/>
      <c r="J152" s="6"/>
      <c r="K152" s="6"/>
      <c r="L152" s="6"/>
      <c r="M152" s="6"/>
      <c r="N152" s="6"/>
      <c r="O152" s="31"/>
      <c r="P152" s="32"/>
      <c r="Q152" s="6"/>
      <c r="R152" s="59"/>
      <c r="T152" s="182"/>
      <c r="U152" s="182"/>
    </row>
    <row r="153" spans="2:21" ht="9.75" customHeight="1" x14ac:dyDescent="0.4">
      <c r="B153" s="1"/>
      <c r="C153" s="164" t="str">
        <f t="shared" si="31"/>
        <v>P009</v>
      </c>
      <c r="D153" s="17" t="s">
        <v>374</v>
      </c>
      <c r="E153" s="17"/>
      <c r="F153" s="32"/>
      <c r="G153" s="6"/>
      <c r="H153" s="6"/>
      <c r="I153" s="6"/>
      <c r="J153" s="6"/>
      <c r="K153" s="6"/>
      <c r="L153" s="6"/>
      <c r="M153" s="6"/>
      <c r="N153" s="6"/>
      <c r="O153" s="31"/>
      <c r="P153" s="32"/>
      <c r="Q153" s="6"/>
      <c r="R153" s="59"/>
      <c r="T153" s="182"/>
      <c r="U153" s="182"/>
    </row>
    <row r="154" spans="2:21" ht="9.75" customHeight="1" x14ac:dyDescent="0.4">
      <c r="B154" s="1"/>
      <c r="C154" s="164" t="str">
        <f t="shared" si="31"/>
        <v>P009</v>
      </c>
      <c r="D154" s="17" t="s">
        <v>374</v>
      </c>
      <c r="E154" s="17"/>
      <c r="F154" s="32"/>
      <c r="G154" s="6"/>
      <c r="H154" s="6"/>
      <c r="I154" s="6"/>
      <c r="J154" s="6"/>
      <c r="K154" s="6"/>
      <c r="L154" s="6"/>
      <c r="M154" s="6"/>
      <c r="N154" s="6"/>
      <c r="O154" s="31"/>
      <c r="P154" s="32"/>
      <c r="Q154" s="6"/>
      <c r="R154" s="59"/>
      <c r="T154" s="182"/>
      <c r="U154" s="182"/>
    </row>
    <row r="155" spans="2:21" ht="9.75" customHeight="1" x14ac:dyDescent="0.4">
      <c r="B155" s="1"/>
      <c r="C155" s="164" t="str">
        <f t="shared" si="31"/>
        <v>P009</v>
      </c>
      <c r="D155" s="17" t="s">
        <v>374</v>
      </c>
      <c r="E155" s="17"/>
      <c r="F155" s="32"/>
      <c r="G155" s="6"/>
      <c r="H155" s="6"/>
      <c r="I155" s="6"/>
      <c r="J155" s="6"/>
      <c r="K155" s="6"/>
      <c r="L155" s="6"/>
      <c r="M155" s="6"/>
      <c r="N155" s="6"/>
      <c r="O155" s="31"/>
      <c r="P155" s="32"/>
      <c r="Q155" s="6"/>
      <c r="R155" s="59"/>
      <c r="T155" s="182"/>
      <c r="U155" s="182"/>
    </row>
    <row r="156" spans="2:21" ht="9.75" customHeight="1" x14ac:dyDescent="0.4">
      <c r="B156" s="1"/>
      <c r="C156" s="164" t="str">
        <f t="shared" si="31"/>
        <v>P009</v>
      </c>
      <c r="D156" s="17" t="s">
        <v>374</v>
      </c>
      <c r="E156" s="17"/>
      <c r="F156" s="32"/>
      <c r="G156" s="6"/>
      <c r="H156" s="6"/>
      <c r="I156" s="6"/>
      <c r="J156" s="6"/>
      <c r="K156" s="6"/>
      <c r="L156" s="6"/>
      <c r="M156" s="6"/>
      <c r="N156" s="6"/>
      <c r="O156" s="31"/>
      <c r="P156" s="32"/>
      <c r="Q156" s="6"/>
      <c r="R156" s="59"/>
      <c r="T156" s="182"/>
      <c r="U156" s="182"/>
    </row>
    <row r="157" spans="2:21" ht="9.75" customHeight="1" x14ac:dyDescent="0.4">
      <c r="B157" s="1"/>
      <c r="C157" s="164" t="str">
        <f t="shared" si="31"/>
        <v>P009</v>
      </c>
      <c r="D157" s="17" t="s">
        <v>374</v>
      </c>
      <c r="E157" s="17"/>
      <c r="F157" s="32"/>
      <c r="G157" s="6"/>
      <c r="H157" s="6"/>
      <c r="I157" s="6"/>
      <c r="J157" s="6"/>
      <c r="K157" s="6"/>
      <c r="L157" s="6"/>
      <c r="M157" s="6"/>
      <c r="N157" s="6"/>
      <c r="O157" s="31"/>
      <c r="P157" s="32"/>
      <c r="Q157" s="6"/>
      <c r="R157" s="59"/>
      <c r="T157" s="182"/>
      <c r="U157" s="182"/>
    </row>
    <row r="158" spans="2:21" ht="9.75" customHeight="1" x14ac:dyDescent="0.4">
      <c r="B158" s="1"/>
      <c r="C158" s="164" t="str">
        <f t="shared" si="31"/>
        <v>P009</v>
      </c>
      <c r="D158" s="17" t="s">
        <v>310</v>
      </c>
      <c r="E158" s="17"/>
      <c r="F158" s="32"/>
      <c r="G158" s="6"/>
      <c r="H158" s="6"/>
      <c r="I158" s="6"/>
      <c r="J158" s="6"/>
      <c r="K158" s="6"/>
      <c r="L158" s="6"/>
      <c r="M158" s="6"/>
      <c r="N158" s="6"/>
      <c r="O158" s="31"/>
      <c r="P158" s="32"/>
      <c r="Q158" s="6"/>
      <c r="R158" s="59"/>
      <c r="T158" s="182"/>
      <c r="U158" s="182"/>
    </row>
    <row r="159" spans="2:21" ht="9.75" customHeight="1" x14ac:dyDescent="0.4">
      <c r="B159" s="1"/>
      <c r="C159" s="164" t="str">
        <f t="shared" si="31"/>
        <v>P009</v>
      </c>
      <c r="D159" s="17" t="s">
        <v>311</v>
      </c>
      <c r="E159" s="17"/>
      <c r="F159" s="32"/>
      <c r="G159" s="6"/>
      <c r="H159" s="6"/>
      <c r="I159" s="6"/>
      <c r="J159" s="6"/>
      <c r="K159" s="6"/>
      <c r="L159" s="6"/>
      <c r="M159" s="6"/>
      <c r="N159" s="6"/>
      <c r="O159" s="31"/>
      <c r="P159" s="32"/>
      <c r="Q159" s="6"/>
      <c r="R159" s="59"/>
      <c r="T159" s="182"/>
      <c r="U159" s="182"/>
    </row>
    <row r="160" spans="2:21" ht="9.75" customHeight="1" x14ac:dyDescent="0.4">
      <c r="B160" s="1"/>
      <c r="C160" s="164" t="str">
        <f t="shared" si="31"/>
        <v>P009</v>
      </c>
      <c r="D160" s="17" t="s">
        <v>312</v>
      </c>
      <c r="E160" s="17">
        <v>2</v>
      </c>
      <c r="F160" s="32">
        <v>1</v>
      </c>
      <c r="G160" s="6">
        <v>0</v>
      </c>
      <c r="H160" s="6">
        <v>0</v>
      </c>
      <c r="I160" s="6">
        <v>2</v>
      </c>
      <c r="J160" s="6">
        <v>0</v>
      </c>
      <c r="K160" s="74">
        <v>1</v>
      </c>
      <c r="L160" s="74">
        <v>1</v>
      </c>
      <c r="M160" s="74">
        <v>1</v>
      </c>
      <c r="N160" s="74">
        <v>1</v>
      </c>
      <c r="O160" s="123">
        <v>1</v>
      </c>
      <c r="P160" s="32">
        <f>MIN(F160:O160)</f>
        <v>0</v>
      </c>
      <c r="Q160" s="6">
        <f>E160-P160</f>
        <v>2</v>
      </c>
      <c r="R160" s="59">
        <f>Q160/E160</f>
        <v>1</v>
      </c>
      <c r="T160" s="182"/>
      <c r="U160" s="182"/>
    </row>
    <row r="161" spans="2:21" ht="9.75" customHeight="1" x14ac:dyDescent="0.4">
      <c r="B161" s="1"/>
      <c r="C161" s="164" t="str">
        <f t="shared" si="31"/>
        <v>P009</v>
      </c>
      <c r="D161" s="17" t="s">
        <v>313</v>
      </c>
      <c r="E161" s="17"/>
      <c r="F161" s="32"/>
      <c r="G161" s="6"/>
      <c r="H161" s="6"/>
      <c r="I161" s="6"/>
      <c r="J161" s="6"/>
      <c r="K161" s="6"/>
      <c r="L161" s="6"/>
      <c r="M161" s="6"/>
      <c r="N161" s="6"/>
      <c r="O161" s="31"/>
      <c r="P161" s="32"/>
      <c r="Q161" s="6"/>
      <c r="R161" s="59"/>
      <c r="T161" s="182"/>
      <c r="U161" s="182"/>
    </row>
    <row r="162" spans="2:21" ht="9.75" customHeight="1" x14ac:dyDescent="0.4">
      <c r="B162" s="1"/>
      <c r="C162" s="165" t="str">
        <f t="shared" si="31"/>
        <v>P009</v>
      </c>
      <c r="D162" s="65" t="s">
        <v>314</v>
      </c>
      <c r="E162" s="65">
        <f t="shared" ref="E162:O162" si="32">SUM(E146:E161)</f>
        <v>2</v>
      </c>
      <c r="F162" s="104">
        <f t="shared" si="32"/>
        <v>1</v>
      </c>
      <c r="G162" s="128">
        <f t="shared" si="32"/>
        <v>0</v>
      </c>
      <c r="H162" s="128">
        <f t="shared" si="32"/>
        <v>0</v>
      </c>
      <c r="I162" s="128">
        <f t="shared" si="32"/>
        <v>2</v>
      </c>
      <c r="J162" s="128">
        <f t="shared" si="32"/>
        <v>0</v>
      </c>
      <c r="K162" s="128">
        <f t="shared" si="32"/>
        <v>1</v>
      </c>
      <c r="L162" s="128">
        <f t="shared" si="32"/>
        <v>1</v>
      </c>
      <c r="M162" s="128">
        <f t="shared" si="32"/>
        <v>1</v>
      </c>
      <c r="N162" s="128">
        <f t="shared" si="32"/>
        <v>1</v>
      </c>
      <c r="O162" s="129">
        <f t="shared" si="32"/>
        <v>1</v>
      </c>
      <c r="P162" s="104">
        <f>MIN(F162:O162)</f>
        <v>0</v>
      </c>
      <c r="Q162" s="128">
        <f>E162-P162</f>
        <v>2</v>
      </c>
      <c r="R162" s="72">
        <f>Q162/E162</f>
        <v>1</v>
      </c>
      <c r="T162" s="182"/>
      <c r="U162" s="182"/>
    </row>
    <row r="163" spans="2:21" ht="9.75" customHeight="1" x14ac:dyDescent="0.4">
      <c r="B163" s="1"/>
      <c r="C163" s="15" t="s">
        <v>69</v>
      </c>
      <c r="D163" s="15" t="s">
        <v>300</v>
      </c>
      <c r="E163" s="15"/>
      <c r="F163" s="73"/>
      <c r="G163" s="108"/>
      <c r="H163" s="108"/>
      <c r="I163" s="108"/>
      <c r="J163" s="108"/>
      <c r="K163" s="108"/>
      <c r="L163" s="108"/>
      <c r="M163" s="108"/>
      <c r="N163" s="108"/>
      <c r="O163" s="109"/>
      <c r="P163" s="73"/>
      <c r="Q163" s="108"/>
      <c r="R163" s="188"/>
      <c r="T163" s="182"/>
      <c r="U163" s="182"/>
    </row>
    <row r="164" spans="2:21" ht="9.75" customHeight="1" x14ac:dyDescent="0.4">
      <c r="B164" s="1"/>
      <c r="C164" s="164" t="str">
        <f t="shared" ref="C164:C179" si="33">C163</f>
        <v>P010</v>
      </c>
      <c r="D164" s="17" t="s">
        <v>301</v>
      </c>
      <c r="E164" s="17"/>
      <c r="F164" s="32"/>
      <c r="G164" s="6"/>
      <c r="H164" s="6"/>
      <c r="I164" s="6"/>
      <c r="J164" s="6"/>
      <c r="K164" s="6"/>
      <c r="L164" s="6"/>
      <c r="M164" s="6"/>
      <c r="N164" s="6"/>
      <c r="O164" s="31"/>
      <c r="P164" s="32"/>
      <c r="Q164" s="6"/>
      <c r="R164" s="59"/>
      <c r="T164" s="182"/>
      <c r="U164" s="182"/>
    </row>
    <row r="165" spans="2:21" ht="9.75" customHeight="1" x14ac:dyDescent="0.4">
      <c r="B165" s="1"/>
      <c r="C165" s="164" t="str">
        <f t="shared" si="33"/>
        <v>P010</v>
      </c>
      <c r="D165" s="17" t="s">
        <v>303</v>
      </c>
      <c r="E165" s="17"/>
      <c r="F165" s="32"/>
      <c r="G165" s="6"/>
      <c r="H165" s="6"/>
      <c r="I165" s="6"/>
      <c r="J165" s="6"/>
      <c r="K165" s="6"/>
      <c r="L165" s="6"/>
      <c r="M165" s="6"/>
      <c r="N165" s="6"/>
      <c r="O165" s="31"/>
      <c r="P165" s="32"/>
      <c r="Q165" s="6"/>
      <c r="R165" s="59"/>
      <c r="T165" s="182"/>
      <c r="U165" s="182"/>
    </row>
    <row r="166" spans="2:21" ht="9.75" customHeight="1" x14ac:dyDescent="0.4">
      <c r="B166" s="1"/>
      <c r="C166" s="164" t="str">
        <f t="shared" si="33"/>
        <v>P010</v>
      </c>
      <c r="D166" s="17" t="s">
        <v>369</v>
      </c>
      <c r="E166" s="17"/>
      <c r="F166" s="32"/>
      <c r="G166" s="6"/>
      <c r="H166" s="6"/>
      <c r="I166" s="6"/>
      <c r="J166" s="6"/>
      <c r="K166" s="6"/>
      <c r="L166" s="6"/>
      <c r="M166" s="6"/>
      <c r="N166" s="6"/>
      <c r="O166" s="31"/>
      <c r="P166" s="32"/>
      <c r="Q166" s="6"/>
      <c r="R166" s="59"/>
      <c r="T166" s="182"/>
      <c r="U166" s="182"/>
    </row>
    <row r="167" spans="2:21" ht="9.75" customHeight="1" x14ac:dyDescent="0.4">
      <c r="B167" s="1"/>
      <c r="C167" s="164" t="str">
        <f t="shared" si="33"/>
        <v>P010</v>
      </c>
      <c r="D167" s="17" t="s">
        <v>369</v>
      </c>
      <c r="E167" s="17"/>
      <c r="F167" s="32"/>
      <c r="G167" s="6"/>
      <c r="H167" s="6"/>
      <c r="I167" s="6"/>
      <c r="J167" s="6"/>
      <c r="K167" s="6"/>
      <c r="L167" s="6"/>
      <c r="M167" s="6"/>
      <c r="N167" s="6"/>
      <c r="O167" s="31"/>
      <c r="P167" s="32"/>
      <c r="Q167" s="6"/>
      <c r="R167" s="59"/>
      <c r="T167" s="182"/>
      <c r="U167" s="182"/>
    </row>
    <row r="168" spans="2:21" ht="9.75" customHeight="1" x14ac:dyDescent="0.4">
      <c r="B168" s="1"/>
      <c r="C168" s="164" t="str">
        <f t="shared" si="33"/>
        <v>P010</v>
      </c>
      <c r="D168" s="17" t="s">
        <v>308</v>
      </c>
      <c r="E168" s="17"/>
      <c r="F168" s="32"/>
      <c r="G168" s="6"/>
      <c r="H168" s="6"/>
      <c r="I168" s="6"/>
      <c r="J168" s="6"/>
      <c r="K168" s="6"/>
      <c r="L168" s="6"/>
      <c r="M168" s="6"/>
      <c r="N168" s="6"/>
      <c r="O168" s="31"/>
      <c r="P168" s="32"/>
      <c r="Q168" s="6"/>
      <c r="R168" s="59"/>
      <c r="T168" s="182"/>
      <c r="U168" s="182"/>
    </row>
    <row r="169" spans="2:21" ht="9.75" customHeight="1" x14ac:dyDescent="0.4">
      <c r="B169" s="1"/>
      <c r="C169" s="164" t="str">
        <f t="shared" si="33"/>
        <v>P010</v>
      </c>
      <c r="D169" s="17" t="s">
        <v>373</v>
      </c>
      <c r="E169" s="17">
        <v>23</v>
      </c>
      <c r="F169" s="8">
        <v>15</v>
      </c>
      <c r="G169" s="6">
        <v>6</v>
      </c>
      <c r="H169" s="6">
        <v>0</v>
      </c>
      <c r="I169" s="6">
        <v>0</v>
      </c>
      <c r="J169" s="6">
        <v>0</v>
      </c>
      <c r="K169" s="74">
        <v>0</v>
      </c>
      <c r="L169" s="74">
        <v>0</v>
      </c>
      <c r="M169" s="74">
        <v>4</v>
      </c>
      <c r="N169" s="74">
        <v>5</v>
      </c>
      <c r="O169" s="123">
        <v>3</v>
      </c>
      <c r="P169" s="32">
        <f>MIN(F169:O169)</f>
        <v>0</v>
      </c>
      <c r="Q169" s="6">
        <f>E169-P169</f>
        <v>23</v>
      </c>
      <c r="R169" s="59">
        <f>Q169/E169</f>
        <v>1</v>
      </c>
      <c r="T169" s="182"/>
      <c r="U169" s="182"/>
    </row>
    <row r="170" spans="2:21" ht="9.75" customHeight="1" x14ac:dyDescent="0.4">
      <c r="B170" s="1"/>
      <c r="C170" s="164" t="str">
        <f t="shared" si="33"/>
        <v>P010</v>
      </c>
      <c r="D170" s="17" t="s">
        <v>374</v>
      </c>
      <c r="E170" s="17"/>
      <c r="F170" s="32"/>
      <c r="G170" s="6"/>
      <c r="H170" s="6"/>
      <c r="I170" s="6"/>
      <c r="J170" s="6"/>
      <c r="K170" s="192"/>
      <c r="L170" s="192"/>
      <c r="M170" s="192"/>
      <c r="N170" s="192"/>
      <c r="O170" s="193"/>
      <c r="P170" s="32"/>
      <c r="Q170" s="6"/>
      <c r="R170" s="59"/>
      <c r="T170" s="182"/>
      <c r="U170" s="182"/>
    </row>
    <row r="171" spans="2:21" ht="9.75" customHeight="1" x14ac:dyDescent="0.4">
      <c r="B171" s="1"/>
      <c r="C171" s="164" t="str">
        <f t="shared" si="33"/>
        <v>P010</v>
      </c>
      <c r="D171" s="17" t="s">
        <v>374</v>
      </c>
      <c r="E171" s="17"/>
      <c r="F171" s="32"/>
      <c r="G171" s="6"/>
      <c r="H171" s="6"/>
      <c r="I171" s="6"/>
      <c r="J171" s="6"/>
      <c r="K171" s="192"/>
      <c r="L171" s="192"/>
      <c r="M171" s="192"/>
      <c r="N171" s="192"/>
      <c r="O171" s="193"/>
      <c r="P171" s="32"/>
      <c r="Q171" s="6"/>
      <c r="R171" s="59"/>
      <c r="T171" s="182"/>
      <c r="U171" s="182"/>
    </row>
    <row r="172" spans="2:21" ht="9.75" customHeight="1" x14ac:dyDescent="0.4">
      <c r="B172" s="1"/>
      <c r="C172" s="164" t="str">
        <f t="shared" si="33"/>
        <v>P010</v>
      </c>
      <c r="D172" s="17" t="s">
        <v>374</v>
      </c>
      <c r="E172" s="17"/>
      <c r="F172" s="32"/>
      <c r="G172" s="6"/>
      <c r="H172" s="6"/>
      <c r="I172" s="6"/>
      <c r="J172" s="6"/>
      <c r="K172" s="192"/>
      <c r="L172" s="192"/>
      <c r="M172" s="192"/>
      <c r="N172" s="192"/>
      <c r="O172" s="193"/>
      <c r="P172" s="32"/>
      <c r="Q172" s="6"/>
      <c r="R172" s="59"/>
      <c r="T172" s="182"/>
      <c r="U172" s="182"/>
    </row>
    <row r="173" spans="2:21" ht="9.75" customHeight="1" x14ac:dyDescent="0.4">
      <c r="B173" s="1"/>
      <c r="C173" s="164" t="str">
        <f t="shared" si="33"/>
        <v>P010</v>
      </c>
      <c r="D173" s="17" t="s">
        <v>374</v>
      </c>
      <c r="E173" s="17"/>
      <c r="F173" s="32"/>
      <c r="G173" s="6"/>
      <c r="H173" s="6"/>
      <c r="I173" s="6"/>
      <c r="J173" s="6"/>
      <c r="K173" s="192"/>
      <c r="L173" s="192"/>
      <c r="M173" s="192"/>
      <c r="N173" s="192"/>
      <c r="O173" s="193"/>
      <c r="P173" s="32"/>
      <c r="Q173" s="6"/>
      <c r="R173" s="59"/>
      <c r="T173" s="182"/>
      <c r="U173" s="182"/>
    </row>
    <row r="174" spans="2:21" ht="9.75" customHeight="1" x14ac:dyDescent="0.4">
      <c r="B174" s="1"/>
      <c r="C174" s="164" t="str">
        <f t="shared" si="33"/>
        <v>P010</v>
      </c>
      <c r="D174" s="17" t="s">
        <v>374</v>
      </c>
      <c r="E174" s="17"/>
      <c r="F174" s="32"/>
      <c r="G174" s="6"/>
      <c r="H174" s="6"/>
      <c r="I174" s="6"/>
      <c r="J174" s="6"/>
      <c r="K174" s="192"/>
      <c r="L174" s="192"/>
      <c r="M174" s="192"/>
      <c r="N174" s="192"/>
      <c r="O174" s="193"/>
      <c r="P174" s="32"/>
      <c r="Q174" s="6"/>
      <c r="R174" s="59"/>
      <c r="T174" s="182"/>
      <c r="U174" s="182"/>
    </row>
    <row r="175" spans="2:21" ht="9.75" customHeight="1" x14ac:dyDescent="0.4">
      <c r="B175" s="1"/>
      <c r="C175" s="164" t="str">
        <f t="shared" si="33"/>
        <v>P010</v>
      </c>
      <c r="D175" s="17" t="s">
        <v>310</v>
      </c>
      <c r="E175" s="17">
        <v>1</v>
      </c>
      <c r="F175" s="8">
        <v>1</v>
      </c>
      <c r="G175" s="6">
        <v>1</v>
      </c>
      <c r="H175" s="6">
        <v>1</v>
      </c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32">
        <f>MIN(F175:O175)</f>
        <v>1</v>
      </c>
      <c r="Q175" s="6">
        <f>E175-P175</f>
        <v>0</v>
      </c>
      <c r="R175" s="59">
        <f>Q175/E175</f>
        <v>0</v>
      </c>
      <c r="T175" s="182"/>
      <c r="U175" s="182"/>
    </row>
    <row r="176" spans="2:21" ht="9.75" customHeight="1" x14ac:dyDescent="0.4">
      <c r="B176" s="1"/>
      <c r="C176" s="164" t="str">
        <f t="shared" si="33"/>
        <v>P010</v>
      </c>
      <c r="D176" s="17" t="s">
        <v>311</v>
      </c>
      <c r="E176" s="17"/>
      <c r="F176" s="32"/>
      <c r="G176" s="6"/>
      <c r="H176" s="6"/>
      <c r="I176" s="6"/>
      <c r="J176" s="6"/>
      <c r="K176" s="6"/>
      <c r="L176" s="6"/>
      <c r="M176" s="6"/>
      <c r="N176" s="6"/>
      <c r="O176" s="31"/>
      <c r="P176" s="32"/>
      <c r="Q176" s="6"/>
      <c r="R176" s="59"/>
      <c r="T176" s="182"/>
      <c r="U176" s="182"/>
    </row>
    <row r="177" spans="2:21" ht="9.75" customHeight="1" x14ac:dyDescent="0.4">
      <c r="B177" s="1"/>
      <c r="C177" s="164" t="str">
        <f t="shared" si="33"/>
        <v>P010</v>
      </c>
      <c r="D177" s="17" t="s">
        <v>312</v>
      </c>
      <c r="E177" s="17"/>
      <c r="F177" s="32"/>
      <c r="G177" s="6"/>
      <c r="H177" s="6"/>
      <c r="I177" s="6"/>
      <c r="J177" s="6"/>
      <c r="K177" s="6"/>
      <c r="L177" s="6"/>
      <c r="M177" s="6"/>
      <c r="N177" s="6"/>
      <c r="O177" s="31"/>
      <c r="P177" s="32"/>
      <c r="Q177" s="6"/>
      <c r="R177" s="59"/>
      <c r="T177" s="182"/>
      <c r="U177" s="182"/>
    </row>
    <row r="178" spans="2:21" ht="9.75" customHeight="1" x14ac:dyDescent="0.4">
      <c r="B178" s="1"/>
      <c r="C178" s="164" t="str">
        <f t="shared" si="33"/>
        <v>P010</v>
      </c>
      <c r="D178" s="17" t="s">
        <v>313</v>
      </c>
      <c r="E178" s="17"/>
      <c r="F178" s="32"/>
      <c r="G178" s="6"/>
      <c r="H178" s="6"/>
      <c r="I178" s="6"/>
      <c r="J178" s="6"/>
      <c r="K178" s="6"/>
      <c r="L178" s="6"/>
      <c r="M178" s="6"/>
      <c r="N178" s="6"/>
      <c r="O178" s="31"/>
      <c r="P178" s="32"/>
      <c r="Q178" s="6"/>
      <c r="R178" s="59"/>
      <c r="T178" s="182"/>
      <c r="U178" s="182"/>
    </row>
    <row r="179" spans="2:21" ht="9.75" customHeight="1" x14ac:dyDescent="0.4">
      <c r="B179" s="1"/>
      <c r="C179" s="165" t="str">
        <f t="shared" si="33"/>
        <v>P010</v>
      </c>
      <c r="D179" s="65" t="s">
        <v>314</v>
      </c>
      <c r="E179" s="65">
        <f t="shared" ref="E179:O179" si="34">SUM(E163:E178)</f>
        <v>24</v>
      </c>
      <c r="F179" s="104">
        <f t="shared" si="34"/>
        <v>16</v>
      </c>
      <c r="G179" s="128">
        <f t="shared" si="34"/>
        <v>7</v>
      </c>
      <c r="H179" s="128">
        <f t="shared" si="34"/>
        <v>1</v>
      </c>
      <c r="I179" s="128">
        <f t="shared" si="34"/>
        <v>1</v>
      </c>
      <c r="J179" s="128">
        <f t="shared" si="34"/>
        <v>1</v>
      </c>
      <c r="K179" s="128">
        <f t="shared" si="34"/>
        <v>1</v>
      </c>
      <c r="L179" s="128">
        <f t="shared" si="34"/>
        <v>1</v>
      </c>
      <c r="M179" s="128">
        <f t="shared" si="34"/>
        <v>5</v>
      </c>
      <c r="N179" s="128">
        <f t="shared" si="34"/>
        <v>6</v>
      </c>
      <c r="O179" s="129">
        <f t="shared" si="34"/>
        <v>4</v>
      </c>
      <c r="P179" s="104">
        <f>MIN(F179:O179)</f>
        <v>1</v>
      </c>
      <c r="Q179" s="128">
        <f>E179-P179</f>
        <v>23</v>
      </c>
      <c r="R179" s="72">
        <f>Q179/E179</f>
        <v>0.95833333333333337</v>
      </c>
      <c r="T179" s="182"/>
      <c r="U179" s="182"/>
    </row>
    <row r="180" spans="2:21" ht="9.75" customHeight="1" x14ac:dyDescent="0.4">
      <c r="B180" s="1"/>
      <c r="C180" s="196" t="s">
        <v>90</v>
      </c>
      <c r="D180" s="15" t="s">
        <v>300</v>
      </c>
      <c r="E180" s="15"/>
      <c r="F180" s="73"/>
      <c r="G180" s="108"/>
      <c r="H180" s="108"/>
      <c r="I180" s="108"/>
      <c r="J180" s="108"/>
      <c r="K180" s="108"/>
      <c r="L180" s="108"/>
      <c r="M180" s="108"/>
      <c r="N180" s="108"/>
      <c r="O180" s="109"/>
      <c r="P180" s="73"/>
      <c r="Q180" s="108"/>
      <c r="R180" s="188"/>
      <c r="T180" s="182"/>
      <c r="U180" s="182"/>
    </row>
    <row r="181" spans="2:21" ht="9.75" customHeight="1" x14ac:dyDescent="0.4">
      <c r="B181" s="1"/>
      <c r="C181" s="197" t="s">
        <v>314</v>
      </c>
      <c r="D181" s="17" t="s">
        <v>301</v>
      </c>
      <c r="E181" s="17"/>
      <c r="F181" s="32"/>
      <c r="G181" s="6"/>
      <c r="H181" s="6"/>
      <c r="I181" s="6"/>
      <c r="J181" s="6"/>
      <c r="K181" s="74"/>
      <c r="L181" s="74"/>
      <c r="M181" s="74"/>
      <c r="N181" s="74"/>
      <c r="O181" s="123"/>
      <c r="P181" s="32"/>
      <c r="Q181" s="6"/>
      <c r="R181" s="59"/>
      <c r="T181" s="182"/>
      <c r="U181" s="182"/>
    </row>
    <row r="182" spans="2:21" ht="9.75" customHeight="1" x14ac:dyDescent="0.4">
      <c r="B182" s="1"/>
      <c r="C182" s="197" t="s">
        <v>383</v>
      </c>
      <c r="D182" s="17" t="s">
        <v>303</v>
      </c>
      <c r="E182" s="17"/>
      <c r="F182" s="32"/>
      <c r="G182" s="6"/>
      <c r="H182" s="6"/>
      <c r="I182" s="6"/>
      <c r="J182" s="6"/>
      <c r="K182" s="192"/>
      <c r="L182" s="192"/>
      <c r="M182" s="192"/>
      <c r="N182" s="192"/>
      <c r="O182" s="193"/>
      <c r="P182" s="32"/>
      <c r="Q182" s="6"/>
      <c r="R182" s="59"/>
      <c r="T182" s="182"/>
      <c r="U182" s="182"/>
    </row>
    <row r="183" spans="2:21" ht="9.75" customHeight="1" x14ac:dyDescent="0.4">
      <c r="B183" s="1"/>
      <c r="C183" s="197" t="s">
        <v>384</v>
      </c>
      <c r="D183" s="17" t="s">
        <v>369</v>
      </c>
      <c r="E183" s="17"/>
      <c r="F183" s="32"/>
      <c r="G183" s="6"/>
      <c r="H183" s="6"/>
      <c r="I183" s="6"/>
      <c r="J183" s="6"/>
      <c r="K183" s="192"/>
      <c r="L183" s="192"/>
      <c r="M183" s="192"/>
      <c r="N183" s="192"/>
      <c r="O183" s="193"/>
      <c r="P183" s="32"/>
      <c r="Q183" s="6"/>
      <c r="R183" s="59"/>
      <c r="T183" s="182"/>
      <c r="U183" s="182"/>
    </row>
    <row r="184" spans="2:21" ht="9.75" customHeight="1" x14ac:dyDescent="0.4">
      <c r="B184" s="1"/>
      <c r="C184" s="164" t="str">
        <f t="shared" ref="C184:C196" si="35">C183</f>
        <v>construction</v>
      </c>
      <c r="D184" s="17" t="s">
        <v>369</v>
      </c>
      <c r="E184" s="17"/>
      <c r="F184" s="32"/>
      <c r="G184" s="6"/>
      <c r="H184" s="6"/>
      <c r="I184" s="6"/>
      <c r="J184" s="6"/>
      <c r="K184" s="192"/>
      <c r="L184" s="192"/>
      <c r="M184" s="192"/>
      <c r="N184" s="192"/>
      <c r="O184" s="193"/>
      <c r="P184" s="32"/>
      <c r="Q184" s="6"/>
      <c r="R184" s="59"/>
      <c r="T184" s="182"/>
      <c r="U184" s="182"/>
    </row>
    <row r="185" spans="2:21" ht="9.75" customHeight="1" x14ac:dyDescent="0.4">
      <c r="B185" s="1"/>
      <c r="C185" s="164" t="str">
        <f t="shared" si="35"/>
        <v>construction</v>
      </c>
      <c r="D185" s="17" t="s">
        <v>308</v>
      </c>
      <c r="E185" s="17"/>
      <c r="F185" s="32"/>
      <c r="G185" s="6"/>
      <c r="H185" s="6"/>
      <c r="I185" s="6"/>
      <c r="J185" s="6"/>
      <c r="K185" s="192"/>
      <c r="L185" s="192"/>
      <c r="M185" s="192"/>
      <c r="N185" s="192"/>
      <c r="O185" s="193"/>
      <c r="P185" s="32"/>
      <c r="Q185" s="6"/>
      <c r="R185" s="59"/>
      <c r="T185" s="182"/>
      <c r="U185" s="182"/>
    </row>
    <row r="186" spans="2:21" ht="9.75" customHeight="1" x14ac:dyDescent="0.4">
      <c r="B186" s="1"/>
      <c r="C186" s="164" t="str">
        <f t="shared" si="35"/>
        <v>construction</v>
      </c>
      <c r="D186" s="17" t="s">
        <v>385</v>
      </c>
      <c r="E186" s="17">
        <v>4</v>
      </c>
      <c r="F186" s="8">
        <v>4</v>
      </c>
      <c r="G186" s="6">
        <v>4</v>
      </c>
      <c r="H186" s="6">
        <v>0</v>
      </c>
      <c r="I186" s="6">
        <v>0</v>
      </c>
      <c r="J186" s="6">
        <v>0</v>
      </c>
      <c r="K186" s="74">
        <v>0</v>
      </c>
      <c r="L186" s="74">
        <v>0</v>
      </c>
      <c r="M186" s="74">
        <v>2</v>
      </c>
      <c r="N186" s="74">
        <v>2</v>
      </c>
      <c r="O186" s="123">
        <v>1</v>
      </c>
      <c r="P186" s="32">
        <f t="shared" ref="P186:P187" si="36">MIN(F186:O186)</f>
        <v>0</v>
      </c>
      <c r="Q186" s="6">
        <f t="shared" ref="Q186:Q187" si="37">E186-P186</f>
        <v>4</v>
      </c>
      <c r="R186" s="59">
        <f t="shared" ref="R186:R187" si="38">Q186/E186</f>
        <v>1</v>
      </c>
      <c r="T186" s="182"/>
      <c r="U186" s="182"/>
    </row>
    <row r="187" spans="2:21" ht="9.75" customHeight="1" x14ac:dyDescent="0.4">
      <c r="B187" s="1"/>
      <c r="C187" s="164" t="str">
        <f t="shared" si="35"/>
        <v>construction</v>
      </c>
      <c r="D187" s="197" t="s">
        <v>386</v>
      </c>
      <c r="E187" s="197">
        <f>13+2</f>
        <v>15</v>
      </c>
      <c r="F187" s="8">
        <v>15</v>
      </c>
      <c r="G187" s="6">
        <v>14</v>
      </c>
      <c r="H187" s="6">
        <v>5</v>
      </c>
      <c r="I187" s="6">
        <v>2</v>
      </c>
      <c r="J187" s="6">
        <v>0</v>
      </c>
      <c r="K187" s="74">
        <v>0</v>
      </c>
      <c r="L187" s="74">
        <v>0</v>
      </c>
      <c r="M187" s="74">
        <v>1</v>
      </c>
      <c r="N187" s="74">
        <v>2</v>
      </c>
      <c r="O187" s="123">
        <v>6</v>
      </c>
      <c r="P187" s="32">
        <f t="shared" si="36"/>
        <v>0</v>
      </c>
      <c r="Q187" s="6">
        <f t="shared" si="37"/>
        <v>15</v>
      </c>
      <c r="R187" s="59">
        <f t="shared" si="38"/>
        <v>1</v>
      </c>
      <c r="T187" s="182"/>
      <c r="U187" s="182"/>
    </row>
    <row r="188" spans="2:21" ht="9.75" customHeight="1" x14ac:dyDescent="0.4">
      <c r="B188" s="1"/>
      <c r="C188" s="164" t="str">
        <f t="shared" si="35"/>
        <v>construction</v>
      </c>
      <c r="D188" s="17" t="s">
        <v>374</v>
      </c>
      <c r="E188" s="17"/>
      <c r="F188" s="8"/>
      <c r="G188" s="6"/>
      <c r="H188" s="6"/>
      <c r="I188" s="6"/>
      <c r="J188" s="6"/>
      <c r="K188" s="192"/>
      <c r="L188" s="192"/>
      <c r="M188" s="192"/>
      <c r="N188" s="192"/>
      <c r="O188" s="193"/>
      <c r="P188" s="32"/>
      <c r="Q188" s="6"/>
      <c r="R188" s="59"/>
      <c r="T188" s="182"/>
      <c r="U188" s="182"/>
    </row>
    <row r="189" spans="2:21" ht="9.75" customHeight="1" x14ac:dyDescent="0.4">
      <c r="B189" s="1"/>
      <c r="C189" s="164" t="str">
        <f t="shared" si="35"/>
        <v>construction</v>
      </c>
      <c r="D189" s="17" t="s">
        <v>374</v>
      </c>
      <c r="E189" s="17"/>
      <c r="F189" s="8"/>
      <c r="G189" s="6"/>
      <c r="H189" s="6"/>
      <c r="I189" s="6"/>
      <c r="J189" s="6"/>
      <c r="K189" s="192"/>
      <c r="L189" s="192"/>
      <c r="M189" s="192"/>
      <c r="N189" s="192"/>
      <c r="O189" s="193"/>
      <c r="P189" s="32"/>
      <c r="Q189" s="6"/>
      <c r="R189" s="59"/>
      <c r="T189" s="182"/>
      <c r="U189" s="182"/>
    </row>
    <row r="190" spans="2:21" ht="9.75" customHeight="1" x14ac:dyDescent="0.4">
      <c r="B190" s="1"/>
      <c r="C190" s="164" t="str">
        <f t="shared" si="35"/>
        <v>construction</v>
      </c>
      <c r="D190" s="17" t="s">
        <v>374</v>
      </c>
      <c r="E190" s="17"/>
      <c r="F190" s="8"/>
      <c r="G190" s="6"/>
      <c r="H190" s="6"/>
      <c r="I190" s="6"/>
      <c r="J190" s="6"/>
      <c r="K190" s="192"/>
      <c r="L190" s="192"/>
      <c r="M190" s="192"/>
      <c r="N190" s="192"/>
      <c r="O190" s="193"/>
      <c r="P190" s="32"/>
      <c r="Q190" s="6"/>
      <c r="R190" s="59"/>
      <c r="T190" s="182"/>
      <c r="U190" s="182"/>
    </row>
    <row r="191" spans="2:21" ht="9.75" customHeight="1" x14ac:dyDescent="0.4">
      <c r="B191" s="1"/>
      <c r="C191" s="164" t="str">
        <f t="shared" si="35"/>
        <v>construction</v>
      </c>
      <c r="D191" s="17" t="s">
        <v>374</v>
      </c>
      <c r="E191" s="17"/>
      <c r="F191" s="8"/>
      <c r="G191" s="6"/>
      <c r="H191" s="6"/>
      <c r="I191" s="6"/>
      <c r="J191" s="6"/>
      <c r="K191" s="192"/>
      <c r="L191" s="192"/>
      <c r="M191" s="192"/>
      <c r="N191" s="192"/>
      <c r="O191" s="193"/>
      <c r="P191" s="32"/>
      <c r="Q191" s="6"/>
      <c r="R191" s="59"/>
      <c r="T191" s="182"/>
      <c r="U191" s="182"/>
    </row>
    <row r="192" spans="2:21" ht="9.75" customHeight="1" x14ac:dyDescent="0.4">
      <c r="B192" s="1"/>
      <c r="C192" s="164" t="str">
        <f t="shared" si="35"/>
        <v>construction</v>
      </c>
      <c r="D192" s="17" t="s">
        <v>310</v>
      </c>
      <c r="E192" s="17">
        <v>2</v>
      </c>
      <c r="F192" s="8">
        <v>2</v>
      </c>
      <c r="G192" s="6">
        <v>2</v>
      </c>
      <c r="H192" s="6">
        <v>2</v>
      </c>
      <c r="I192" s="6">
        <v>2</v>
      </c>
      <c r="J192" s="6">
        <v>1</v>
      </c>
      <c r="K192" s="74">
        <v>1</v>
      </c>
      <c r="L192" s="74">
        <v>1</v>
      </c>
      <c r="M192" s="74">
        <v>2</v>
      </c>
      <c r="N192" s="74">
        <v>2</v>
      </c>
      <c r="O192" s="123">
        <v>2</v>
      </c>
      <c r="P192" s="32">
        <f>MIN(F192:O192)</f>
        <v>1</v>
      </c>
      <c r="Q192" s="6">
        <f>E192-P192</f>
        <v>1</v>
      </c>
      <c r="R192" s="59">
        <f>Q192/E192</f>
        <v>0.5</v>
      </c>
      <c r="T192" s="182"/>
      <c r="U192" s="182"/>
    </row>
    <row r="193" spans="2:21" ht="9.75" customHeight="1" x14ac:dyDescent="0.4">
      <c r="B193" s="1"/>
      <c r="C193" s="164" t="str">
        <f t="shared" si="35"/>
        <v>construction</v>
      </c>
      <c r="D193" s="17" t="s">
        <v>311</v>
      </c>
      <c r="E193" s="17"/>
      <c r="F193" s="8"/>
      <c r="G193" s="6"/>
      <c r="H193" s="6"/>
      <c r="I193" s="6"/>
      <c r="J193" s="6"/>
      <c r="K193" s="192"/>
      <c r="L193" s="192"/>
      <c r="M193" s="192"/>
      <c r="N193" s="192"/>
      <c r="O193" s="193"/>
      <c r="P193" s="32"/>
      <c r="Q193" s="6"/>
      <c r="R193" s="59"/>
      <c r="T193" s="182"/>
      <c r="U193" s="182"/>
    </row>
    <row r="194" spans="2:21" ht="9.75" customHeight="1" x14ac:dyDescent="0.4">
      <c r="B194" s="1"/>
      <c r="C194" s="164" t="str">
        <f t="shared" si="35"/>
        <v>construction</v>
      </c>
      <c r="D194" s="17" t="s">
        <v>312</v>
      </c>
      <c r="E194" s="17"/>
      <c r="F194" s="8"/>
      <c r="G194" s="6"/>
      <c r="H194" s="6"/>
      <c r="I194" s="6"/>
      <c r="J194" s="6"/>
      <c r="K194" s="192"/>
      <c r="L194" s="192"/>
      <c r="M194" s="192"/>
      <c r="N194" s="192"/>
      <c r="O194" s="193"/>
      <c r="P194" s="32"/>
      <c r="Q194" s="6"/>
      <c r="R194" s="59"/>
      <c r="T194" s="182"/>
      <c r="U194" s="182"/>
    </row>
    <row r="195" spans="2:21" ht="9.75" customHeight="1" x14ac:dyDescent="0.4">
      <c r="B195" s="1"/>
      <c r="C195" s="164" t="str">
        <f t="shared" si="35"/>
        <v>construction</v>
      </c>
      <c r="D195" s="17" t="s">
        <v>313</v>
      </c>
      <c r="E195" s="17">
        <v>1</v>
      </c>
      <c r="F195" s="8">
        <v>1</v>
      </c>
      <c r="G195" s="6">
        <v>1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32">
        <f t="shared" ref="P195:P196" si="39">MIN(F195:O195)</f>
        <v>1</v>
      </c>
      <c r="Q195" s="6">
        <f t="shared" ref="Q195:Q196" si="40">E195-P195</f>
        <v>0</v>
      </c>
      <c r="R195" s="59">
        <f t="shared" ref="R195:R196" si="41">Q195/E195</f>
        <v>0</v>
      </c>
      <c r="T195" s="182"/>
      <c r="U195" s="182"/>
    </row>
    <row r="196" spans="2:21" ht="9.75" customHeight="1" x14ac:dyDescent="0.4">
      <c r="B196" s="1"/>
      <c r="C196" s="165" t="str">
        <f t="shared" si="35"/>
        <v>construction</v>
      </c>
      <c r="D196" s="65" t="s">
        <v>314</v>
      </c>
      <c r="E196" s="65">
        <f t="shared" ref="E196:O196" si="42">SUM(E180:E195)</f>
        <v>22</v>
      </c>
      <c r="F196" s="104">
        <f t="shared" si="42"/>
        <v>22</v>
      </c>
      <c r="G196" s="128">
        <f t="shared" si="42"/>
        <v>21</v>
      </c>
      <c r="H196" s="128">
        <f t="shared" si="42"/>
        <v>8</v>
      </c>
      <c r="I196" s="128">
        <f t="shared" si="42"/>
        <v>5</v>
      </c>
      <c r="J196" s="128">
        <f t="shared" si="42"/>
        <v>2</v>
      </c>
      <c r="K196" s="128">
        <f t="shared" si="42"/>
        <v>2</v>
      </c>
      <c r="L196" s="128">
        <f t="shared" si="42"/>
        <v>2</v>
      </c>
      <c r="M196" s="128">
        <f t="shared" si="42"/>
        <v>6</v>
      </c>
      <c r="N196" s="128">
        <f t="shared" si="42"/>
        <v>7</v>
      </c>
      <c r="O196" s="129">
        <f t="shared" si="42"/>
        <v>10</v>
      </c>
      <c r="P196" s="104">
        <f t="shared" si="39"/>
        <v>2</v>
      </c>
      <c r="Q196" s="128">
        <f t="shared" si="40"/>
        <v>20</v>
      </c>
      <c r="R196" s="72">
        <f t="shared" si="41"/>
        <v>0.90909090909090906</v>
      </c>
      <c r="T196" s="182"/>
      <c r="U196" s="182"/>
    </row>
    <row r="197" spans="2:21" ht="9.75" customHeight="1" x14ac:dyDescent="0.4">
      <c r="B197" s="1"/>
      <c r="C197" s="15" t="s">
        <v>109</v>
      </c>
      <c r="D197" s="15" t="s">
        <v>300</v>
      </c>
      <c r="E197" s="15"/>
      <c r="F197" s="73"/>
      <c r="G197" s="108"/>
      <c r="H197" s="108"/>
      <c r="I197" s="108"/>
      <c r="J197" s="108"/>
      <c r="K197" s="108"/>
      <c r="L197" s="108"/>
      <c r="M197" s="108"/>
      <c r="N197" s="108"/>
      <c r="O197" s="109"/>
      <c r="P197" s="73"/>
      <c r="Q197" s="108"/>
      <c r="R197" s="188"/>
      <c r="T197" s="182"/>
      <c r="U197" s="182"/>
    </row>
    <row r="198" spans="2:21" ht="9.75" customHeight="1" x14ac:dyDescent="0.4">
      <c r="B198" s="1"/>
      <c r="C198" s="164" t="str">
        <f t="shared" ref="C198:C213" si="43">C197</f>
        <v>P012</v>
      </c>
      <c r="D198" s="17" t="s">
        <v>301</v>
      </c>
      <c r="E198" s="17">
        <v>12</v>
      </c>
      <c r="F198" s="8">
        <v>6</v>
      </c>
      <c r="G198" s="6">
        <v>2</v>
      </c>
      <c r="H198" s="6">
        <v>0</v>
      </c>
      <c r="I198" s="6">
        <v>0</v>
      </c>
      <c r="J198" s="6">
        <v>1</v>
      </c>
      <c r="K198" s="74">
        <v>1</v>
      </c>
      <c r="L198" s="74">
        <v>0</v>
      </c>
      <c r="M198" s="74">
        <v>1</v>
      </c>
      <c r="N198" s="74">
        <v>1</v>
      </c>
      <c r="O198" s="123">
        <v>1</v>
      </c>
      <c r="P198" s="32">
        <f>MIN(F198:O198)</f>
        <v>0</v>
      </c>
      <c r="Q198" s="6">
        <f>E198-P198</f>
        <v>12</v>
      </c>
      <c r="R198" s="59">
        <f>Q198/E198</f>
        <v>1</v>
      </c>
      <c r="T198" s="182"/>
      <c r="U198" s="182"/>
    </row>
    <row r="199" spans="2:21" ht="9.75" customHeight="1" x14ac:dyDescent="0.4">
      <c r="B199" s="1"/>
      <c r="C199" s="164" t="str">
        <f t="shared" si="43"/>
        <v>P012</v>
      </c>
      <c r="D199" s="17" t="s">
        <v>303</v>
      </c>
      <c r="E199" s="17"/>
      <c r="F199" s="32"/>
      <c r="G199" s="6"/>
      <c r="H199" s="6"/>
      <c r="I199" s="6"/>
      <c r="J199" s="6"/>
      <c r="K199" s="192"/>
      <c r="L199" s="192"/>
      <c r="M199" s="192"/>
      <c r="N199" s="192"/>
      <c r="O199" s="193"/>
      <c r="P199" s="32"/>
      <c r="Q199" s="6"/>
      <c r="R199" s="59"/>
      <c r="T199" s="182"/>
      <c r="U199" s="182"/>
    </row>
    <row r="200" spans="2:21" ht="9.75" customHeight="1" x14ac:dyDescent="0.4">
      <c r="B200" s="1"/>
      <c r="C200" s="164" t="str">
        <f t="shared" si="43"/>
        <v>P012</v>
      </c>
      <c r="D200" s="17" t="s">
        <v>369</v>
      </c>
      <c r="E200" s="17"/>
      <c r="F200" s="32"/>
      <c r="G200" s="6"/>
      <c r="H200" s="6"/>
      <c r="I200" s="6"/>
      <c r="J200" s="6"/>
      <c r="K200" s="192"/>
      <c r="L200" s="192"/>
      <c r="M200" s="192"/>
      <c r="N200" s="192"/>
      <c r="O200" s="193"/>
      <c r="P200" s="32"/>
      <c r="Q200" s="6"/>
      <c r="R200" s="59"/>
      <c r="T200" s="182"/>
      <c r="U200" s="182"/>
    </row>
    <row r="201" spans="2:21" ht="9.75" customHeight="1" x14ac:dyDescent="0.4">
      <c r="B201" s="1"/>
      <c r="C201" s="164" t="str">
        <f t="shared" si="43"/>
        <v>P012</v>
      </c>
      <c r="D201" s="17" t="s">
        <v>369</v>
      </c>
      <c r="E201" s="17"/>
      <c r="F201" s="32"/>
      <c r="G201" s="6"/>
      <c r="H201" s="6"/>
      <c r="I201" s="6"/>
      <c r="J201" s="6"/>
      <c r="K201" s="192"/>
      <c r="L201" s="192"/>
      <c r="M201" s="192"/>
      <c r="N201" s="192"/>
      <c r="O201" s="193"/>
      <c r="P201" s="32"/>
      <c r="Q201" s="6"/>
      <c r="R201" s="59"/>
      <c r="T201" s="182"/>
      <c r="U201" s="182"/>
    </row>
    <row r="202" spans="2:21" ht="9.75" customHeight="1" x14ac:dyDescent="0.4">
      <c r="B202" s="1"/>
      <c r="C202" s="164" t="str">
        <f t="shared" si="43"/>
        <v>P012</v>
      </c>
      <c r="D202" s="17" t="s">
        <v>308</v>
      </c>
      <c r="E202" s="17"/>
      <c r="F202" s="32"/>
      <c r="G202" s="6"/>
      <c r="H202" s="6"/>
      <c r="I202" s="6"/>
      <c r="J202" s="6"/>
      <c r="K202" s="192"/>
      <c r="L202" s="192"/>
      <c r="M202" s="192"/>
      <c r="N202" s="192"/>
      <c r="O202" s="193"/>
      <c r="P202" s="32"/>
      <c r="Q202" s="6"/>
      <c r="R202" s="59"/>
      <c r="T202" s="182"/>
      <c r="U202" s="182"/>
    </row>
    <row r="203" spans="2:21" ht="9.75" customHeight="1" x14ac:dyDescent="0.4">
      <c r="B203" s="1"/>
      <c r="C203" s="164" t="str">
        <f t="shared" si="43"/>
        <v>P012</v>
      </c>
      <c r="D203" s="17" t="s">
        <v>374</v>
      </c>
      <c r="E203" s="17"/>
      <c r="F203" s="32"/>
      <c r="G203" s="6"/>
      <c r="H203" s="6"/>
      <c r="I203" s="6"/>
      <c r="J203" s="6"/>
      <c r="K203" s="192"/>
      <c r="L203" s="192"/>
      <c r="M203" s="192"/>
      <c r="N203" s="192"/>
      <c r="O203" s="193"/>
      <c r="P203" s="32"/>
      <c r="Q203" s="6"/>
      <c r="R203" s="59"/>
      <c r="T203" s="182"/>
      <c r="U203" s="182"/>
    </row>
    <row r="204" spans="2:21" ht="9.75" customHeight="1" x14ac:dyDescent="0.4">
      <c r="B204" s="1"/>
      <c r="C204" s="164" t="str">
        <f t="shared" si="43"/>
        <v>P012</v>
      </c>
      <c r="D204" s="17" t="s">
        <v>374</v>
      </c>
      <c r="E204" s="17"/>
      <c r="F204" s="32"/>
      <c r="G204" s="6"/>
      <c r="H204" s="6"/>
      <c r="I204" s="6"/>
      <c r="J204" s="6"/>
      <c r="K204" s="192"/>
      <c r="L204" s="192"/>
      <c r="M204" s="192"/>
      <c r="N204" s="192"/>
      <c r="O204" s="193"/>
      <c r="P204" s="32"/>
      <c r="Q204" s="6"/>
      <c r="R204" s="59"/>
      <c r="T204" s="182"/>
      <c r="U204" s="182"/>
    </row>
    <row r="205" spans="2:21" ht="9.75" customHeight="1" x14ac:dyDescent="0.4">
      <c r="B205" s="1"/>
      <c r="C205" s="164" t="str">
        <f t="shared" si="43"/>
        <v>P012</v>
      </c>
      <c r="D205" s="17" t="s">
        <v>374</v>
      </c>
      <c r="E205" s="17"/>
      <c r="F205" s="32"/>
      <c r="G205" s="6"/>
      <c r="H205" s="6"/>
      <c r="I205" s="6"/>
      <c r="J205" s="6"/>
      <c r="K205" s="192"/>
      <c r="L205" s="192"/>
      <c r="M205" s="192"/>
      <c r="N205" s="192"/>
      <c r="O205" s="193"/>
      <c r="P205" s="32"/>
      <c r="Q205" s="6"/>
      <c r="R205" s="59"/>
      <c r="T205" s="182"/>
      <c r="U205" s="182"/>
    </row>
    <row r="206" spans="2:21" ht="9.75" customHeight="1" x14ac:dyDescent="0.4">
      <c r="B206" s="1"/>
      <c r="C206" s="164" t="str">
        <f t="shared" si="43"/>
        <v>P012</v>
      </c>
      <c r="D206" s="17" t="s">
        <v>374</v>
      </c>
      <c r="E206" s="17"/>
      <c r="F206" s="32"/>
      <c r="G206" s="6"/>
      <c r="H206" s="6"/>
      <c r="I206" s="6"/>
      <c r="J206" s="6"/>
      <c r="K206" s="192"/>
      <c r="L206" s="192"/>
      <c r="M206" s="192"/>
      <c r="N206" s="192"/>
      <c r="O206" s="193"/>
      <c r="P206" s="32"/>
      <c r="Q206" s="6"/>
      <c r="R206" s="59"/>
      <c r="T206" s="182"/>
      <c r="U206" s="182"/>
    </row>
    <row r="207" spans="2:21" ht="9.75" customHeight="1" x14ac:dyDescent="0.4">
      <c r="B207" s="1"/>
      <c r="C207" s="164" t="str">
        <f t="shared" si="43"/>
        <v>P012</v>
      </c>
      <c r="D207" s="17" t="s">
        <v>374</v>
      </c>
      <c r="E207" s="17"/>
      <c r="F207" s="32"/>
      <c r="G207" s="6"/>
      <c r="H207" s="6"/>
      <c r="I207" s="6"/>
      <c r="J207" s="6"/>
      <c r="K207" s="192"/>
      <c r="L207" s="192"/>
      <c r="M207" s="192"/>
      <c r="N207" s="192"/>
      <c r="O207" s="193"/>
      <c r="P207" s="32"/>
      <c r="Q207" s="6"/>
      <c r="R207" s="59"/>
      <c r="T207" s="182"/>
      <c r="U207" s="182"/>
    </row>
    <row r="208" spans="2:21" ht="9.75" customHeight="1" x14ac:dyDescent="0.4">
      <c r="B208" s="1"/>
      <c r="C208" s="164" t="str">
        <f t="shared" si="43"/>
        <v>P012</v>
      </c>
      <c r="D208" s="17" t="s">
        <v>374</v>
      </c>
      <c r="E208" s="17"/>
      <c r="F208" s="32"/>
      <c r="G208" s="6"/>
      <c r="H208" s="6"/>
      <c r="I208" s="6"/>
      <c r="J208" s="6"/>
      <c r="K208" s="192"/>
      <c r="L208" s="192"/>
      <c r="M208" s="192"/>
      <c r="N208" s="192"/>
      <c r="O208" s="193"/>
      <c r="P208" s="32"/>
      <c r="Q208" s="6"/>
      <c r="R208" s="59"/>
      <c r="T208" s="182"/>
      <c r="U208" s="182"/>
    </row>
    <row r="209" spans="2:21" ht="9.75" customHeight="1" x14ac:dyDescent="0.4">
      <c r="B209" s="1"/>
      <c r="C209" s="164" t="str">
        <f t="shared" si="43"/>
        <v>P012</v>
      </c>
      <c r="D209" s="17" t="s">
        <v>310</v>
      </c>
      <c r="E209" s="17">
        <v>1</v>
      </c>
      <c r="F209" s="8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123">
        <v>1</v>
      </c>
      <c r="P209" s="32">
        <f>MIN(F209:O209)</f>
        <v>1</v>
      </c>
      <c r="Q209" s="6">
        <f>E209-P209</f>
        <v>0</v>
      </c>
      <c r="R209" s="59">
        <f>Q209/E209</f>
        <v>0</v>
      </c>
      <c r="T209" s="182"/>
      <c r="U209" s="182"/>
    </row>
    <row r="210" spans="2:21" ht="9.75" customHeight="1" x14ac:dyDescent="0.4">
      <c r="B210" s="1"/>
      <c r="C210" s="164" t="str">
        <f t="shared" si="43"/>
        <v>P012</v>
      </c>
      <c r="D210" s="17" t="s">
        <v>311</v>
      </c>
      <c r="E210" s="17"/>
      <c r="F210" s="32"/>
      <c r="G210" s="6"/>
      <c r="H210" s="6"/>
      <c r="I210" s="6"/>
      <c r="J210" s="6"/>
      <c r="K210" s="6"/>
      <c r="L210" s="6"/>
      <c r="M210" s="6"/>
      <c r="N210" s="6"/>
      <c r="O210" s="31"/>
      <c r="P210" s="32"/>
      <c r="Q210" s="6"/>
      <c r="R210" s="59"/>
      <c r="T210" s="182"/>
      <c r="U210" s="182"/>
    </row>
    <row r="211" spans="2:21" ht="9.75" customHeight="1" x14ac:dyDescent="0.4">
      <c r="B211" s="1"/>
      <c r="C211" s="164" t="str">
        <f t="shared" si="43"/>
        <v>P012</v>
      </c>
      <c r="D211" s="17" t="s">
        <v>312</v>
      </c>
      <c r="E211" s="17"/>
      <c r="F211" s="32"/>
      <c r="G211" s="6"/>
      <c r="H211" s="6"/>
      <c r="I211" s="6"/>
      <c r="J211" s="6"/>
      <c r="K211" s="6"/>
      <c r="L211" s="6"/>
      <c r="M211" s="6"/>
      <c r="N211" s="6"/>
      <c r="O211" s="31"/>
      <c r="P211" s="32"/>
      <c r="Q211" s="6"/>
      <c r="R211" s="59"/>
      <c r="T211" s="182"/>
      <c r="U211" s="182"/>
    </row>
    <row r="212" spans="2:21" ht="9.75" customHeight="1" x14ac:dyDescent="0.4">
      <c r="B212" s="1"/>
      <c r="C212" s="164" t="str">
        <f t="shared" si="43"/>
        <v>P012</v>
      </c>
      <c r="D212" s="17" t="s">
        <v>313</v>
      </c>
      <c r="E212" s="17"/>
      <c r="F212" s="32"/>
      <c r="G212" s="6"/>
      <c r="H212" s="6"/>
      <c r="I212" s="6"/>
      <c r="J212" s="6"/>
      <c r="K212" s="6"/>
      <c r="L212" s="6"/>
      <c r="M212" s="6"/>
      <c r="N212" s="6"/>
      <c r="O212" s="31"/>
      <c r="P212" s="32"/>
      <c r="Q212" s="6"/>
      <c r="R212" s="59"/>
      <c r="T212" s="182"/>
      <c r="U212" s="182"/>
    </row>
    <row r="213" spans="2:21" ht="9.75" customHeight="1" x14ac:dyDescent="0.4">
      <c r="B213" s="1"/>
      <c r="C213" s="165" t="str">
        <f t="shared" si="43"/>
        <v>P012</v>
      </c>
      <c r="D213" s="65" t="s">
        <v>314</v>
      </c>
      <c r="E213" s="65">
        <f t="shared" ref="E213:O213" si="44">SUM(E197:E212)</f>
        <v>13</v>
      </c>
      <c r="F213" s="104">
        <f t="shared" si="44"/>
        <v>7</v>
      </c>
      <c r="G213" s="128">
        <f t="shared" si="44"/>
        <v>3</v>
      </c>
      <c r="H213" s="128">
        <f t="shared" si="44"/>
        <v>1</v>
      </c>
      <c r="I213" s="128">
        <f t="shared" si="44"/>
        <v>1</v>
      </c>
      <c r="J213" s="128">
        <f t="shared" si="44"/>
        <v>2</v>
      </c>
      <c r="K213" s="128">
        <f t="shared" si="44"/>
        <v>2</v>
      </c>
      <c r="L213" s="128">
        <f t="shared" si="44"/>
        <v>1</v>
      </c>
      <c r="M213" s="128">
        <f t="shared" si="44"/>
        <v>2</v>
      </c>
      <c r="N213" s="128">
        <f t="shared" si="44"/>
        <v>2</v>
      </c>
      <c r="O213" s="129">
        <f t="shared" si="44"/>
        <v>2</v>
      </c>
      <c r="P213" s="104">
        <f>MIN(F213:O213)</f>
        <v>1</v>
      </c>
      <c r="Q213" s="128">
        <f>E213-P213</f>
        <v>12</v>
      </c>
      <c r="R213" s="72">
        <f>Q213/E213</f>
        <v>0.92307692307692313</v>
      </c>
      <c r="T213" s="182"/>
      <c r="U213" s="182"/>
    </row>
    <row r="214" spans="2:21" ht="9.75" customHeight="1" x14ac:dyDescent="0.4">
      <c r="B214" s="1"/>
      <c r="C214" s="15" t="s">
        <v>126</v>
      </c>
      <c r="D214" s="15" t="s">
        <v>300</v>
      </c>
      <c r="E214" s="15"/>
      <c r="F214" s="73"/>
      <c r="G214" s="108"/>
      <c r="H214" s="108"/>
      <c r="I214" s="108"/>
      <c r="J214" s="108"/>
      <c r="K214" s="108"/>
      <c r="L214" s="108"/>
      <c r="M214" s="108"/>
      <c r="N214" s="108"/>
      <c r="O214" s="109"/>
      <c r="P214" s="73"/>
      <c r="Q214" s="108"/>
      <c r="R214" s="188"/>
      <c r="T214" s="182"/>
      <c r="U214" s="182"/>
    </row>
    <row r="215" spans="2:21" ht="9.75" customHeight="1" x14ac:dyDescent="0.4">
      <c r="B215" s="1"/>
      <c r="C215" s="164" t="str">
        <f t="shared" ref="C215:C230" si="45">C214</f>
        <v>P013</v>
      </c>
      <c r="D215" s="17" t="s">
        <v>301</v>
      </c>
      <c r="E215" s="17"/>
      <c r="F215" s="32"/>
      <c r="G215" s="6"/>
      <c r="H215" s="6"/>
      <c r="I215" s="6"/>
      <c r="J215" s="6"/>
      <c r="K215" s="74"/>
      <c r="L215" s="74"/>
      <c r="M215" s="74"/>
      <c r="N215" s="74"/>
      <c r="O215" s="123"/>
      <c r="P215" s="32"/>
      <c r="Q215" s="6"/>
      <c r="R215" s="59"/>
      <c r="T215" s="182"/>
      <c r="U215" s="182"/>
    </row>
    <row r="216" spans="2:21" ht="9.75" customHeight="1" x14ac:dyDescent="0.4">
      <c r="B216" s="1"/>
      <c r="C216" s="164" t="str">
        <f t="shared" si="45"/>
        <v>P013</v>
      </c>
      <c r="D216" s="17" t="s">
        <v>303</v>
      </c>
      <c r="E216" s="17"/>
      <c r="F216" s="32"/>
      <c r="G216" s="6"/>
      <c r="H216" s="6"/>
      <c r="I216" s="6"/>
      <c r="J216" s="6"/>
      <c r="K216" s="192"/>
      <c r="L216" s="192"/>
      <c r="M216" s="192"/>
      <c r="N216" s="192"/>
      <c r="O216" s="193"/>
      <c r="P216" s="32"/>
      <c r="Q216" s="6"/>
      <c r="R216" s="59"/>
      <c r="T216" s="182"/>
      <c r="U216" s="182"/>
    </row>
    <row r="217" spans="2:21" ht="9.75" customHeight="1" x14ac:dyDescent="0.4">
      <c r="B217" s="1"/>
      <c r="C217" s="164" t="str">
        <f t="shared" si="45"/>
        <v>P013</v>
      </c>
      <c r="D217" s="17" t="s">
        <v>369</v>
      </c>
      <c r="E217" s="17"/>
      <c r="F217" s="32"/>
      <c r="G217" s="6"/>
      <c r="H217" s="6"/>
      <c r="I217" s="6"/>
      <c r="J217" s="6"/>
      <c r="K217" s="192"/>
      <c r="L217" s="192"/>
      <c r="M217" s="192"/>
      <c r="N217" s="192"/>
      <c r="O217" s="193"/>
      <c r="P217" s="32"/>
      <c r="Q217" s="6"/>
      <c r="R217" s="59"/>
      <c r="T217" s="182"/>
      <c r="U217" s="182"/>
    </row>
    <row r="218" spans="2:21" ht="9.75" customHeight="1" x14ac:dyDescent="0.4">
      <c r="B218" s="1"/>
      <c r="C218" s="164" t="str">
        <f t="shared" si="45"/>
        <v>P013</v>
      </c>
      <c r="D218" s="17" t="s">
        <v>369</v>
      </c>
      <c r="E218" s="17"/>
      <c r="F218" s="32"/>
      <c r="G218" s="6"/>
      <c r="H218" s="6"/>
      <c r="I218" s="6"/>
      <c r="J218" s="6"/>
      <c r="K218" s="192"/>
      <c r="L218" s="192"/>
      <c r="M218" s="192"/>
      <c r="N218" s="192"/>
      <c r="O218" s="193"/>
      <c r="P218" s="32"/>
      <c r="Q218" s="6"/>
      <c r="R218" s="59"/>
      <c r="T218" s="182"/>
      <c r="U218" s="182"/>
    </row>
    <row r="219" spans="2:21" ht="9.75" customHeight="1" x14ac:dyDescent="0.4">
      <c r="B219" s="1"/>
      <c r="C219" s="164" t="str">
        <f t="shared" si="45"/>
        <v>P013</v>
      </c>
      <c r="D219" s="17" t="s">
        <v>308</v>
      </c>
      <c r="E219" s="17"/>
      <c r="F219" s="32"/>
      <c r="G219" s="6"/>
      <c r="H219" s="6"/>
      <c r="I219" s="6"/>
      <c r="J219" s="6"/>
      <c r="K219" s="192"/>
      <c r="L219" s="192"/>
      <c r="M219" s="192"/>
      <c r="N219" s="192"/>
      <c r="O219" s="193"/>
      <c r="P219" s="32"/>
      <c r="Q219" s="6"/>
      <c r="R219" s="59"/>
      <c r="T219" s="182"/>
      <c r="U219" s="182"/>
    </row>
    <row r="220" spans="2:21" ht="9.75" customHeight="1" x14ac:dyDescent="0.4">
      <c r="B220" s="1"/>
      <c r="C220" s="164" t="str">
        <f t="shared" si="45"/>
        <v>P013</v>
      </c>
      <c r="D220" s="17" t="s">
        <v>372</v>
      </c>
      <c r="E220" s="17">
        <v>2</v>
      </c>
      <c r="F220" s="8">
        <v>1</v>
      </c>
      <c r="G220" s="6">
        <v>2</v>
      </c>
      <c r="H220" s="6">
        <v>0</v>
      </c>
      <c r="I220" s="6">
        <v>0</v>
      </c>
      <c r="J220" s="6">
        <v>0</v>
      </c>
      <c r="K220" s="74">
        <v>0</v>
      </c>
      <c r="L220" s="74">
        <v>0</v>
      </c>
      <c r="M220" s="74">
        <v>1</v>
      </c>
      <c r="N220" s="74">
        <v>1</v>
      </c>
      <c r="O220" s="123">
        <v>1</v>
      </c>
      <c r="P220" s="32">
        <f t="shared" ref="P220:P221" si="46">MIN(F220:O220)</f>
        <v>0</v>
      </c>
      <c r="Q220" s="6">
        <f t="shared" ref="Q220:Q221" si="47">E220-P220</f>
        <v>2</v>
      </c>
      <c r="R220" s="59">
        <f t="shared" ref="R220:R221" si="48">Q220/E220</f>
        <v>1</v>
      </c>
      <c r="T220" s="182"/>
      <c r="U220" s="182"/>
    </row>
    <row r="221" spans="2:21" ht="9.75" customHeight="1" x14ac:dyDescent="0.4">
      <c r="B221" s="1"/>
      <c r="C221" s="164" t="str">
        <f t="shared" si="45"/>
        <v>P013</v>
      </c>
      <c r="D221" s="17" t="s">
        <v>386</v>
      </c>
      <c r="E221" s="17">
        <v>12</v>
      </c>
      <c r="F221" s="8">
        <v>10</v>
      </c>
      <c r="G221" s="6">
        <v>6</v>
      </c>
      <c r="H221" s="6">
        <v>3</v>
      </c>
      <c r="I221" s="6">
        <v>1</v>
      </c>
      <c r="J221" s="6">
        <v>0</v>
      </c>
      <c r="K221" s="74">
        <v>1</v>
      </c>
      <c r="L221" s="74">
        <v>3</v>
      </c>
      <c r="M221" s="74">
        <v>3</v>
      </c>
      <c r="N221" s="74">
        <v>6</v>
      </c>
      <c r="O221" s="123">
        <v>7</v>
      </c>
      <c r="P221" s="32">
        <f t="shared" si="46"/>
        <v>0</v>
      </c>
      <c r="Q221" s="6">
        <f t="shared" si="47"/>
        <v>12</v>
      </c>
      <c r="R221" s="59">
        <f t="shared" si="48"/>
        <v>1</v>
      </c>
      <c r="T221" s="182"/>
      <c r="U221" s="182"/>
    </row>
    <row r="222" spans="2:21" ht="9.75" customHeight="1" x14ac:dyDescent="0.4">
      <c r="B222" s="1"/>
      <c r="C222" s="164" t="str">
        <f t="shared" si="45"/>
        <v>P013</v>
      </c>
      <c r="D222" s="17" t="s">
        <v>374</v>
      </c>
      <c r="E222" s="17"/>
      <c r="F222" s="32"/>
      <c r="G222" s="6"/>
      <c r="H222" s="6"/>
      <c r="I222" s="6"/>
      <c r="J222" s="6"/>
      <c r="K222" s="192"/>
      <c r="L222" s="192"/>
      <c r="M222" s="192"/>
      <c r="N222" s="192"/>
      <c r="O222" s="193"/>
      <c r="P222" s="32"/>
      <c r="Q222" s="6"/>
      <c r="R222" s="59"/>
      <c r="T222" s="182"/>
      <c r="U222" s="182"/>
    </row>
    <row r="223" spans="2:21" ht="9.75" customHeight="1" x14ac:dyDescent="0.4">
      <c r="B223" s="1"/>
      <c r="C223" s="164" t="str">
        <f t="shared" si="45"/>
        <v>P013</v>
      </c>
      <c r="D223" s="17" t="s">
        <v>374</v>
      </c>
      <c r="E223" s="17"/>
      <c r="F223" s="32"/>
      <c r="G223" s="6"/>
      <c r="H223" s="6"/>
      <c r="I223" s="6"/>
      <c r="J223" s="6"/>
      <c r="K223" s="192"/>
      <c r="L223" s="192"/>
      <c r="M223" s="192"/>
      <c r="N223" s="192"/>
      <c r="O223" s="193"/>
      <c r="P223" s="32"/>
      <c r="Q223" s="6"/>
      <c r="R223" s="59"/>
      <c r="T223" s="182"/>
      <c r="U223" s="182"/>
    </row>
    <row r="224" spans="2:21" ht="9.75" customHeight="1" x14ac:dyDescent="0.4">
      <c r="B224" s="1"/>
      <c r="C224" s="164" t="str">
        <f t="shared" si="45"/>
        <v>P013</v>
      </c>
      <c r="D224" s="17" t="s">
        <v>374</v>
      </c>
      <c r="E224" s="17"/>
      <c r="F224" s="32"/>
      <c r="G224" s="6"/>
      <c r="H224" s="6"/>
      <c r="I224" s="6"/>
      <c r="J224" s="6"/>
      <c r="K224" s="192"/>
      <c r="L224" s="192"/>
      <c r="M224" s="192"/>
      <c r="N224" s="192"/>
      <c r="O224" s="193"/>
      <c r="P224" s="32"/>
      <c r="Q224" s="6"/>
      <c r="R224" s="59"/>
      <c r="T224" s="182"/>
      <c r="U224" s="182"/>
    </row>
    <row r="225" spans="2:21" ht="9.75" customHeight="1" x14ac:dyDescent="0.4">
      <c r="B225" s="1"/>
      <c r="C225" s="164" t="str">
        <f t="shared" si="45"/>
        <v>P013</v>
      </c>
      <c r="D225" s="17" t="s">
        <v>374</v>
      </c>
      <c r="E225" s="17"/>
      <c r="F225" s="32"/>
      <c r="G225" s="6"/>
      <c r="H225" s="6"/>
      <c r="I225" s="6"/>
      <c r="J225" s="6"/>
      <c r="K225" s="192"/>
      <c r="L225" s="192"/>
      <c r="M225" s="192"/>
      <c r="N225" s="192"/>
      <c r="O225" s="193"/>
      <c r="P225" s="32"/>
      <c r="Q225" s="6"/>
      <c r="R225" s="59"/>
      <c r="T225" s="182"/>
      <c r="U225" s="182"/>
    </row>
    <row r="226" spans="2:21" ht="9.75" customHeight="1" x14ac:dyDescent="0.4">
      <c r="B226" s="1"/>
      <c r="C226" s="164" t="str">
        <f t="shared" si="45"/>
        <v>P013</v>
      </c>
      <c r="D226" s="17" t="s">
        <v>310</v>
      </c>
      <c r="E226" s="17">
        <v>1</v>
      </c>
      <c r="F226" s="8">
        <v>1</v>
      </c>
      <c r="G226" s="6">
        <v>1</v>
      </c>
      <c r="H226" s="6">
        <v>1</v>
      </c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32">
        <f>MIN(F226:O226)</f>
        <v>1</v>
      </c>
      <c r="Q226" s="6">
        <f>E226-P226</f>
        <v>0</v>
      </c>
      <c r="R226" s="59">
        <f>Q226/E226</f>
        <v>0</v>
      </c>
      <c r="T226" s="182"/>
      <c r="U226" s="182"/>
    </row>
    <row r="227" spans="2:21" ht="9.75" customHeight="1" x14ac:dyDescent="0.4">
      <c r="B227" s="1"/>
      <c r="C227" s="164" t="str">
        <f t="shared" si="45"/>
        <v>P013</v>
      </c>
      <c r="D227" s="17" t="s">
        <v>311</v>
      </c>
      <c r="E227" s="17"/>
      <c r="F227" s="32"/>
      <c r="G227" s="6"/>
      <c r="H227" s="6"/>
      <c r="I227" s="6"/>
      <c r="J227" s="6"/>
      <c r="K227" s="6"/>
      <c r="L227" s="6"/>
      <c r="M227" s="6"/>
      <c r="N227" s="6"/>
      <c r="O227" s="31"/>
      <c r="P227" s="32"/>
      <c r="Q227" s="6"/>
      <c r="R227" s="59"/>
      <c r="T227" s="182"/>
      <c r="U227" s="182"/>
    </row>
    <row r="228" spans="2:21" ht="9.75" customHeight="1" x14ac:dyDescent="0.4">
      <c r="B228" s="1"/>
      <c r="C228" s="164" t="str">
        <f t="shared" si="45"/>
        <v>P013</v>
      </c>
      <c r="D228" s="17" t="s">
        <v>312</v>
      </c>
      <c r="E228" s="17"/>
      <c r="F228" s="32"/>
      <c r="G228" s="6"/>
      <c r="H228" s="6"/>
      <c r="I228" s="6"/>
      <c r="J228" s="6"/>
      <c r="K228" s="6"/>
      <c r="L228" s="6"/>
      <c r="M228" s="6"/>
      <c r="N228" s="6"/>
      <c r="O228" s="31"/>
      <c r="P228" s="32"/>
      <c r="Q228" s="6"/>
      <c r="R228" s="59"/>
      <c r="T228" s="182"/>
      <c r="U228" s="182"/>
    </row>
    <row r="229" spans="2:21" ht="9.75" customHeight="1" x14ac:dyDescent="0.4">
      <c r="B229" s="1"/>
      <c r="C229" s="164" t="str">
        <f t="shared" si="45"/>
        <v>P013</v>
      </c>
      <c r="D229" s="17" t="s">
        <v>313</v>
      </c>
      <c r="E229" s="17"/>
      <c r="F229" s="32"/>
      <c r="G229" s="6"/>
      <c r="H229" s="6"/>
      <c r="I229" s="6"/>
      <c r="J229" s="6"/>
      <c r="K229" s="6"/>
      <c r="L229" s="6"/>
      <c r="M229" s="6"/>
      <c r="N229" s="6"/>
      <c r="O229" s="31"/>
      <c r="P229" s="32"/>
      <c r="Q229" s="6"/>
      <c r="R229" s="59"/>
      <c r="T229" s="182"/>
      <c r="U229" s="182"/>
    </row>
    <row r="230" spans="2:21" ht="9.75" customHeight="1" x14ac:dyDescent="0.4">
      <c r="B230" s="1"/>
      <c r="C230" s="165" t="str">
        <f t="shared" si="45"/>
        <v>P013</v>
      </c>
      <c r="D230" s="65" t="s">
        <v>314</v>
      </c>
      <c r="E230" s="65">
        <f t="shared" ref="E230:O230" si="49">SUM(E214:E229)</f>
        <v>15</v>
      </c>
      <c r="F230" s="104">
        <f t="shared" si="49"/>
        <v>12</v>
      </c>
      <c r="G230" s="128">
        <f t="shared" si="49"/>
        <v>9</v>
      </c>
      <c r="H230" s="128">
        <f t="shared" si="49"/>
        <v>4</v>
      </c>
      <c r="I230" s="128">
        <f t="shared" si="49"/>
        <v>2</v>
      </c>
      <c r="J230" s="128">
        <f t="shared" si="49"/>
        <v>1</v>
      </c>
      <c r="K230" s="128">
        <f t="shared" si="49"/>
        <v>2</v>
      </c>
      <c r="L230" s="128">
        <f t="shared" si="49"/>
        <v>4</v>
      </c>
      <c r="M230" s="128">
        <f t="shared" si="49"/>
        <v>5</v>
      </c>
      <c r="N230" s="128">
        <f t="shared" si="49"/>
        <v>8</v>
      </c>
      <c r="O230" s="129">
        <f t="shared" si="49"/>
        <v>9</v>
      </c>
      <c r="P230" s="104">
        <f>MIN(F230:O230)</f>
        <v>1</v>
      </c>
      <c r="Q230" s="128">
        <f>E230-P230</f>
        <v>14</v>
      </c>
      <c r="R230" s="72">
        <f>Q230/E230</f>
        <v>0.93333333333333335</v>
      </c>
      <c r="T230" s="182"/>
      <c r="U230" s="182"/>
    </row>
    <row r="231" spans="2:21" ht="9.75" customHeight="1" x14ac:dyDescent="0.4">
      <c r="B231" s="1"/>
      <c r="C231" s="15" t="s">
        <v>48</v>
      </c>
      <c r="D231" s="15" t="s">
        <v>300</v>
      </c>
      <c r="E231" s="15"/>
      <c r="F231" s="73"/>
      <c r="G231" s="108"/>
      <c r="H231" s="108"/>
      <c r="I231" s="108"/>
      <c r="J231" s="108"/>
      <c r="K231" s="108"/>
      <c r="L231" s="108"/>
      <c r="M231" s="1"/>
      <c r="N231" s="108"/>
      <c r="O231" s="109"/>
      <c r="P231" s="73"/>
      <c r="Q231" s="108"/>
      <c r="R231" s="188"/>
      <c r="T231" s="182"/>
      <c r="U231" s="182"/>
    </row>
    <row r="232" spans="2:21" ht="9.75" customHeight="1" x14ac:dyDescent="0.4">
      <c r="B232" s="1"/>
      <c r="C232" s="164" t="str">
        <f t="shared" ref="C232:C247" si="50">C231</f>
        <v>P014</v>
      </c>
      <c r="D232" s="17" t="s">
        <v>301</v>
      </c>
      <c r="E232" s="17"/>
      <c r="F232" s="32"/>
      <c r="G232" s="6"/>
      <c r="H232" s="6"/>
      <c r="I232" s="6"/>
      <c r="J232" s="6"/>
      <c r="K232" s="74"/>
      <c r="L232" s="74"/>
      <c r="M232" s="6"/>
      <c r="N232" s="74"/>
      <c r="O232" s="123"/>
      <c r="P232" s="32"/>
      <c r="Q232" s="6"/>
      <c r="R232" s="59"/>
      <c r="T232" s="182"/>
      <c r="U232" s="182"/>
    </row>
    <row r="233" spans="2:21" ht="9.75" customHeight="1" x14ac:dyDescent="0.4">
      <c r="B233" s="1"/>
      <c r="C233" s="164" t="str">
        <f t="shared" si="50"/>
        <v>P014</v>
      </c>
      <c r="D233" s="17" t="s">
        <v>303</v>
      </c>
      <c r="E233" s="17"/>
      <c r="F233" s="32"/>
      <c r="G233" s="6"/>
      <c r="H233" s="6"/>
      <c r="I233" s="6"/>
      <c r="J233" s="6"/>
      <c r="K233" s="74"/>
      <c r="L233" s="74"/>
      <c r="M233" s="74"/>
      <c r="N233" s="74"/>
      <c r="O233" s="123"/>
      <c r="P233" s="32"/>
      <c r="Q233" s="6"/>
      <c r="R233" s="59"/>
      <c r="T233" s="182"/>
      <c r="U233" s="182"/>
    </row>
    <row r="234" spans="2:21" ht="9.75" customHeight="1" x14ac:dyDescent="0.4">
      <c r="B234" s="1"/>
      <c r="C234" s="164" t="str">
        <f t="shared" si="50"/>
        <v>P014</v>
      </c>
      <c r="D234" s="17" t="s">
        <v>387</v>
      </c>
      <c r="E234" s="17">
        <v>4</v>
      </c>
      <c r="F234" s="8">
        <v>4</v>
      </c>
      <c r="G234" s="6">
        <v>4</v>
      </c>
      <c r="H234" s="6">
        <v>3</v>
      </c>
      <c r="I234" s="6">
        <v>3</v>
      </c>
      <c r="J234" s="6">
        <v>3</v>
      </c>
      <c r="K234" s="74">
        <v>3</v>
      </c>
      <c r="L234" s="74">
        <v>3</v>
      </c>
      <c r="M234" s="74">
        <v>3</v>
      </c>
      <c r="N234" s="74">
        <v>4</v>
      </c>
      <c r="O234" s="123">
        <v>4</v>
      </c>
      <c r="P234" s="32">
        <f>MIN(F234:O234)</f>
        <v>3</v>
      </c>
      <c r="Q234" s="6">
        <f>E234-P234</f>
        <v>1</v>
      </c>
      <c r="R234" s="59">
        <f>Q234/E234</f>
        <v>0.25</v>
      </c>
      <c r="T234" s="182"/>
      <c r="U234" s="182"/>
    </row>
    <row r="235" spans="2:21" ht="9.75" customHeight="1" x14ac:dyDescent="0.4">
      <c r="B235" s="1"/>
      <c r="C235" s="189" t="str">
        <f t="shared" si="50"/>
        <v>P014</v>
      </c>
      <c r="D235" s="17" t="s">
        <v>369</v>
      </c>
      <c r="E235" s="17"/>
      <c r="F235" s="32"/>
      <c r="G235" s="6"/>
      <c r="H235" s="6"/>
      <c r="I235" s="6"/>
      <c r="J235" s="6"/>
      <c r="K235" s="192"/>
      <c r="L235" s="192"/>
      <c r="M235" s="192"/>
      <c r="N235" s="192"/>
      <c r="O235" s="193"/>
      <c r="P235" s="32"/>
      <c r="Q235" s="6"/>
      <c r="R235" s="59"/>
      <c r="T235" s="182"/>
      <c r="U235" s="182"/>
    </row>
    <row r="236" spans="2:21" ht="9.75" customHeight="1" x14ac:dyDescent="0.4">
      <c r="B236" s="1"/>
      <c r="C236" s="189" t="str">
        <f t="shared" si="50"/>
        <v>P014</v>
      </c>
      <c r="D236" s="17" t="s">
        <v>308</v>
      </c>
      <c r="E236" s="17"/>
      <c r="F236" s="32"/>
      <c r="G236" s="6"/>
      <c r="H236" s="6"/>
      <c r="I236" s="6"/>
      <c r="J236" s="6"/>
      <c r="K236" s="192"/>
      <c r="L236" s="192"/>
      <c r="M236" s="192"/>
      <c r="N236" s="192"/>
      <c r="O236" s="193"/>
      <c r="P236" s="32"/>
      <c r="Q236" s="6"/>
      <c r="R236" s="59"/>
      <c r="T236" s="182"/>
      <c r="U236" s="182"/>
    </row>
    <row r="237" spans="2:21" ht="9.75" customHeight="1" x14ac:dyDescent="0.4">
      <c r="B237" s="1"/>
      <c r="C237" s="189" t="str">
        <f t="shared" si="50"/>
        <v>P014</v>
      </c>
      <c r="D237" s="17" t="s">
        <v>372</v>
      </c>
      <c r="E237" s="17">
        <v>2</v>
      </c>
      <c r="F237" s="8">
        <v>2</v>
      </c>
      <c r="G237" s="6">
        <v>2</v>
      </c>
      <c r="H237" s="6">
        <v>2</v>
      </c>
      <c r="I237" s="6">
        <v>2</v>
      </c>
      <c r="J237" s="6">
        <v>2</v>
      </c>
      <c r="K237" s="74">
        <v>2</v>
      </c>
      <c r="L237" s="74">
        <v>2</v>
      </c>
      <c r="M237" s="74">
        <v>2</v>
      </c>
      <c r="N237" s="74">
        <v>2</v>
      </c>
      <c r="O237" s="123">
        <v>2</v>
      </c>
      <c r="P237" s="32">
        <f t="shared" ref="P237:P239" si="51">MIN(F237:O237)</f>
        <v>2</v>
      </c>
      <c r="Q237" s="6">
        <f t="shared" ref="Q237:Q239" si="52">E237-P237</f>
        <v>0</v>
      </c>
      <c r="R237" s="59">
        <f t="shared" ref="R237:R239" si="53">Q237/E237</f>
        <v>0</v>
      </c>
      <c r="T237" s="182"/>
      <c r="U237" s="182"/>
    </row>
    <row r="238" spans="2:21" ht="9.75" customHeight="1" x14ac:dyDescent="0.4">
      <c r="B238" s="1"/>
      <c r="C238" s="189" t="str">
        <f t="shared" si="50"/>
        <v>P014</v>
      </c>
      <c r="D238" s="17" t="s">
        <v>386</v>
      </c>
      <c r="E238" s="17">
        <v>69</v>
      </c>
      <c r="F238" s="8">
        <v>58</v>
      </c>
      <c r="G238" s="6">
        <v>48</v>
      </c>
      <c r="H238" s="6">
        <v>41</v>
      </c>
      <c r="I238" s="6">
        <v>37</v>
      </c>
      <c r="J238" s="6">
        <v>38</v>
      </c>
      <c r="K238" s="74">
        <v>37</v>
      </c>
      <c r="L238" s="74">
        <v>35</v>
      </c>
      <c r="M238" s="6">
        <v>24</v>
      </c>
      <c r="N238" s="74">
        <v>41</v>
      </c>
      <c r="O238" s="123">
        <v>50</v>
      </c>
      <c r="P238" s="32">
        <f t="shared" si="51"/>
        <v>24</v>
      </c>
      <c r="Q238" s="6">
        <f t="shared" si="52"/>
        <v>45</v>
      </c>
      <c r="R238" s="59">
        <f t="shared" si="53"/>
        <v>0.65217391304347827</v>
      </c>
      <c r="T238" s="182"/>
      <c r="U238" s="182"/>
    </row>
    <row r="239" spans="2:21" ht="9.75" customHeight="1" x14ac:dyDescent="0.4">
      <c r="B239" s="1"/>
      <c r="C239" s="189" t="str">
        <f t="shared" si="50"/>
        <v>P014</v>
      </c>
      <c r="D239" s="17" t="s">
        <v>388</v>
      </c>
      <c r="E239" s="17">
        <v>20</v>
      </c>
      <c r="F239" s="8">
        <v>19</v>
      </c>
      <c r="G239" s="6">
        <v>18</v>
      </c>
      <c r="H239" s="6">
        <v>15</v>
      </c>
      <c r="I239" s="6">
        <v>10</v>
      </c>
      <c r="J239" s="6">
        <v>10</v>
      </c>
      <c r="K239" s="74">
        <v>11</v>
      </c>
      <c r="L239" s="74">
        <v>13</v>
      </c>
      <c r="M239" s="74">
        <v>13</v>
      </c>
      <c r="N239" s="74">
        <v>13</v>
      </c>
      <c r="O239" s="123">
        <v>17</v>
      </c>
      <c r="P239" s="32">
        <f t="shared" si="51"/>
        <v>10</v>
      </c>
      <c r="Q239" s="6">
        <f t="shared" si="52"/>
        <v>10</v>
      </c>
      <c r="R239" s="59">
        <f t="shared" si="53"/>
        <v>0.5</v>
      </c>
      <c r="T239" s="182"/>
      <c r="U239" s="182"/>
    </row>
    <row r="240" spans="2:21" ht="9.75" customHeight="1" x14ac:dyDescent="0.4">
      <c r="B240" s="1"/>
      <c r="C240" s="189" t="str">
        <f t="shared" si="50"/>
        <v>P014</v>
      </c>
      <c r="D240" s="17" t="s">
        <v>374</v>
      </c>
      <c r="E240" s="17"/>
      <c r="F240" s="32"/>
      <c r="G240" s="6"/>
      <c r="H240" s="6"/>
      <c r="I240" s="6"/>
      <c r="J240" s="6"/>
      <c r="K240" s="192"/>
      <c r="L240" s="192"/>
      <c r="M240" s="192"/>
      <c r="N240" s="192"/>
      <c r="O240" s="193"/>
      <c r="P240" s="32"/>
      <c r="Q240" s="6"/>
      <c r="R240" s="59"/>
      <c r="T240" s="182"/>
      <c r="U240" s="182"/>
    </row>
    <row r="241" spans="2:21" ht="9.75" customHeight="1" x14ac:dyDescent="0.4">
      <c r="B241" s="1"/>
      <c r="C241" s="189" t="str">
        <f t="shared" si="50"/>
        <v>P014</v>
      </c>
      <c r="D241" s="17" t="s">
        <v>374</v>
      </c>
      <c r="E241" s="17"/>
      <c r="F241" s="32"/>
      <c r="G241" s="6"/>
      <c r="H241" s="6"/>
      <c r="I241" s="6"/>
      <c r="J241" s="6"/>
      <c r="K241" s="192"/>
      <c r="L241" s="192"/>
      <c r="M241" s="192"/>
      <c r="N241" s="192"/>
      <c r="O241" s="193"/>
      <c r="P241" s="32"/>
      <c r="Q241" s="6"/>
      <c r="R241" s="59"/>
      <c r="T241" s="182"/>
      <c r="U241" s="182"/>
    </row>
    <row r="242" spans="2:21" ht="9.75" customHeight="1" x14ac:dyDescent="0.4">
      <c r="B242" s="1"/>
      <c r="C242" s="189" t="str">
        <f t="shared" si="50"/>
        <v>P014</v>
      </c>
      <c r="D242" s="17" t="s">
        <v>374</v>
      </c>
      <c r="E242" s="17"/>
      <c r="F242" s="32"/>
      <c r="G242" s="6"/>
      <c r="H242" s="6"/>
      <c r="I242" s="6"/>
      <c r="J242" s="6"/>
      <c r="K242" s="192"/>
      <c r="L242" s="192"/>
      <c r="M242" s="192"/>
      <c r="N242" s="192"/>
      <c r="O242" s="193"/>
      <c r="P242" s="32"/>
      <c r="Q242" s="6"/>
      <c r="R242" s="59"/>
      <c r="T242" s="182"/>
      <c r="U242" s="182"/>
    </row>
    <row r="243" spans="2:21" ht="9.75" customHeight="1" x14ac:dyDescent="0.4">
      <c r="B243" s="1"/>
      <c r="C243" s="189" t="str">
        <f t="shared" si="50"/>
        <v>P014</v>
      </c>
      <c r="D243" s="17" t="s">
        <v>310</v>
      </c>
      <c r="E243" s="17">
        <v>4</v>
      </c>
      <c r="F243" s="8">
        <v>4</v>
      </c>
      <c r="G243" s="6">
        <v>4</v>
      </c>
      <c r="H243" s="6">
        <v>3</v>
      </c>
      <c r="I243" s="6">
        <v>3</v>
      </c>
      <c r="J243" s="6">
        <v>3</v>
      </c>
      <c r="K243" s="74">
        <v>3</v>
      </c>
      <c r="L243" s="74">
        <v>3</v>
      </c>
      <c r="M243" s="74">
        <v>3</v>
      </c>
      <c r="N243" s="74">
        <v>4</v>
      </c>
      <c r="O243" s="123">
        <v>4</v>
      </c>
      <c r="P243" s="32">
        <f>MIN(F243:O243)</f>
        <v>3</v>
      </c>
      <c r="Q243" s="6">
        <f>E243-P243</f>
        <v>1</v>
      </c>
      <c r="R243" s="59">
        <f>Q243/E243</f>
        <v>0.25</v>
      </c>
      <c r="T243" s="182"/>
      <c r="U243" s="182"/>
    </row>
    <row r="244" spans="2:21" ht="9.75" customHeight="1" x14ac:dyDescent="0.4">
      <c r="B244" s="1"/>
      <c r="C244" s="189" t="str">
        <f t="shared" si="50"/>
        <v>P014</v>
      </c>
      <c r="D244" s="17" t="s">
        <v>311</v>
      </c>
      <c r="E244" s="17"/>
      <c r="F244" s="32"/>
      <c r="G244" s="6"/>
      <c r="H244" s="6"/>
      <c r="I244" s="6"/>
      <c r="J244" s="6"/>
      <c r="K244" s="6"/>
      <c r="L244" s="6"/>
      <c r="M244" s="6"/>
      <c r="N244" s="6"/>
      <c r="O244" s="31"/>
      <c r="P244" s="32"/>
      <c r="Q244" s="6"/>
      <c r="R244" s="59"/>
      <c r="T244" s="182"/>
      <c r="U244" s="182"/>
    </row>
    <row r="245" spans="2:21" ht="9.75" customHeight="1" x14ac:dyDescent="0.4">
      <c r="B245" s="1"/>
      <c r="C245" s="189" t="str">
        <f t="shared" si="50"/>
        <v>P014</v>
      </c>
      <c r="D245" s="17" t="s">
        <v>312</v>
      </c>
      <c r="E245" s="17"/>
      <c r="F245" s="32"/>
      <c r="G245" s="6"/>
      <c r="H245" s="6"/>
      <c r="I245" s="6"/>
      <c r="J245" s="6"/>
      <c r="K245" s="6"/>
      <c r="L245" s="6"/>
      <c r="M245" s="6"/>
      <c r="N245" s="6"/>
      <c r="O245" s="31"/>
      <c r="P245" s="32"/>
      <c r="Q245" s="6"/>
      <c r="R245" s="59"/>
      <c r="T245" s="182"/>
      <c r="U245" s="182"/>
    </row>
    <row r="246" spans="2:21" ht="9.75" customHeight="1" x14ac:dyDescent="0.4">
      <c r="B246" s="1"/>
      <c r="C246" s="164" t="str">
        <f t="shared" si="50"/>
        <v>P014</v>
      </c>
      <c r="D246" s="17" t="s">
        <v>313</v>
      </c>
      <c r="E246" s="17"/>
      <c r="F246" s="32"/>
      <c r="G246" s="6"/>
      <c r="H246" s="6"/>
      <c r="I246" s="6"/>
      <c r="J246" s="6"/>
      <c r="K246" s="6"/>
      <c r="L246" s="6"/>
      <c r="M246" s="6"/>
      <c r="N246" s="6"/>
      <c r="O246" s="31"/>
      <c r="P246" s="32"/>
      <c r="Q246" s="6"/>
      <c r="R246" s="59"/>
      <c r="T246" s="182"/>
      <c r="U246" s="182"/>
    </row>
    <row r="247" spans="2:21" ht="9.75" customHeight="1" x14ac:dyDescent="0.4">
      <c r="B247" s="1"/>
      <c r="C247" s="165" t="str">
        <f t="shared" si="50"/>
        <v>P014</v>
      </c>
      <c r="D247" s="65" t="s">
        <v>314</v>
      </c>
      <c r="E247" s="65">
        <f t="shared" ref="E247:O247" si="54">SUM(E231:E246)</f>
        <v>99</v>
      </c>
      <c r="F247" s="104">
        <f t="shared" si="54"/>
        <v>87</v>
      </c>
      <c r="G247" s="128">
        <f t="shared" si="54"/>
        <v>76</v>
      </c>
      <c r="H247" s="128">
        <f t="shared" si="54"/>
        <v>64</v>
      </c>
      <c r="I247" s="128">
        <f t="shared" si="54"/>
        <v>55</v>
      </c>
      <c r="J247" s="128">
        <f t="shared" si="54"/>
        <v>56</v>
      </c>
      <c r="K247" s="128">
        <f t="shared" si="54"/>
        <v>56</v>
      </c>
      <c r="L247" s="128">
        <f t="shared" si="54"/>
        <v>56</v>
      </c>
      <c r="M247" s="71">
        <f t="shared" si="54"/>
        <v>45</v>
      </c>
      <c r="N247" s="128">
        <f t="shared" si="54"/>
        <v>64</v>
      </c>
      <c r="O247" s="129">
        <f t="shared" si="54"/>
        <v>77</v>
      </c>
      <c r="P247" s="104">
        <f>MIN(F247:O247)</f>
        <v>45</v>
      </c>
      <c r="Q247" s="128">
        <f>E247-P247</f>
        <v>54</v>
      </c>
      <c r="R247" s="72">
        <f>Q247/E247</f>
        <v>0.54545454545454541</v>
      </c>
      <c r="T247" s="182"/>
      <c r="U247" s="182"/>
    </row>
    <row r="248" spans="2:21" ht="9.75" customHeight="1" x14ac:dyDescent="0.4">
      <c r="B248" s="1"/>
      <c r="C248" s="15" t="s">
        <v>70</v>
      </c>
      <c r="D248" s="198" t="s">
        <v>300</v>
      </c>
      <c r="E248" s="198"/>
      <c r="F248" s="199"/>
      <c r="G248" s="200"/>
      <c r="H248" s="200"/>
      <c r="I248" s="200"/>
      <c r="J248" s="200"/>
      <c r="K248" s="200"/>
      <c r="L248" s="200"/>
      <c r="M248" s="200"/>
      <c r="N248" s="200"/>
      <c r="O248" s="201"/>
      <c r="P248" s="199"/>
      <c r="Q248" s="200"/>
      <c r="R248" s="202"/>
      <c r="T248" s="182"/>
      <c r="U248" s="182"/>
    </row>
    <row r="249" spans="2:21" ht="9.75" customHeight="1" x14ac:dyDescent="0.4">
      <c r="B249" s="1"/>
      <c r="C249" s="164" t="str">
        <f t="shared" ref="C249:C264" si="55">C248</f>
        <v>P015</v>
      </c>
      <c r="D249" s="203" t="s">
        <v>301</v>
      </c>
      <c r="E249" s="203"/>
      <c r="F249" s="204"/>
      <c r="G249" s="205"/>
      <c r="H249" s="205"/>
      <c r="I249" s="205"/>
      <c r="J249" s="205"/>
      <c r="K249" s="205"/>
      <c r="L249" s="205"/>
      <c r="M249" s="205"/>
      <c r="N249" s="205"/>
      <c r="O249" s="206"/>
      <c r="P249" s="204"/>
      <c r="Q249" s="205"/>
      <c r="R249" s="207"/>
      <c r="T249" s="182"/>
      <c r="U249" s="182"/>
    </row>
    <row r="250" spans="2:21" ht="9.75" customHeight="1" x14ac:dyDescent="0.4">
      <c r="B250" s="1"/>
      <c r="C250" s="164" t="str">
        <f t="shared" si="55"/>
        <v>P015</v>
      </c>
      <c r="D250" s="203" t="s">
        <v>303</v>
      </c>
      <c r="E250" s="203"/>
      <c r="F250" s="204"/>
      <c r="G250" s="205"/>
      <c r="H250" s="205"/>
      <c r="I250" s="205"/>
      <c r="J250" s="205"/>
      <c r="K250" s="205"/>
      <c r="L250" s="205"/>
      <c r="M250" s="205"/>
      <c r="N250" s="205"/>
      <c r="O250" s="206"/>
      <c r="P250" s="204"/>
      <c r="Q250" s="205"/>
      <c r="R250" s="207"/>
      <c r="T250" s="182"/>
      <c r="U250" s="182"/>
    </row>
    <row r="251" spans="2:21" ht="9.75" customHeight="1" x14ac:dyDescent="0.4">
      <c r="B251" s="1"/>
      <c r="C251" s="164" t="str">
        <f t="shared" si="55"/>
        <v>P015</v>
      </c>
      <c r="D251" s="203" t="s">
        <v>369</v>
      </c>
      <c r="E251" s="203"/>
      <c r="F251" s="204"/>
      <c r="G251" s="205"/>
      <c r="H251" s="205"/>
      <c r="I251" s="205"/>
      <c r="J251" s="205"/>
      <c r="K251" s="205"/>
      <c r="L251" s="205"/>
      <c r="M251" s="205"/>
      <c r="N251" s="205"/>
      <c r="O251" s="206"/>
      <c r="P251" s="204"/>
      <c r="Q251" s="205"/>
      <c r="R251" s="207"/>
      <c r="T251" s="182"/>
      <c r="U251" s="182"/>
    </row>
    <row r="252" spans="2:21" ht="9.75" customHeight="1" x14ac:dyDescent="0.4">
      <c r="B252" s="1"/>
      <c r="C252" s="164" t="str">
        <f t="shared" si="55"/>
        <v>P015</v>
      </c>
      <c r="D252" s="203" t="s">
        <v>369</v>
      </c>
      <c r="E252" s="203"/>
      <c r="F252" s="204"/>
      <c r="G252" s="205"/>
      <c r="H252" s="205"/>
      <c r="I252" s="205"/>
      <c r="J252" s="205"/>
      <c r="K252" s="205"/>
      <c r="L252" s="205"/>
      <c r="M252" s="205"/>
      <c r="N252" s="205"/>
      <c r="O252" s="206"/>
      <c r="P252" s="204"/>
      <c r="Q252" s="205"/>
      <c r="R252" s="207"/>
      <c r="T252" s="182"/>
      <c r="U252" s="182"/>
    </row>
    <row r="253" spans="2:21" ht="9.75" customHeight="1" x14ac:dyDescent="0.4">
      <c r="B253" s="1"/>
      <c r="C253" s="164" t="str">
        <f t="shared" si="55"/>
        <v>P015</v>
      </c>
      <c r="D253" s="203" t="s">
        <v>308</v>
      </c>
      <c r="E253" s="203"/>
      <c r="F253" s="204"/>
      <c r="G253" s="205"/>
      <c r="H253" s="205"/>
      <c r="I253" s="205"/>
      <c r="J253" s="205"/>
      <c r="K253" s="205"/>
      <c r="L253" s="205"/>
      <c r="M253" s="205"/>
      <c r="N253" s="205"/>
      <c r="O253" s="206"/>
      <c r="P253" s="204"/>
      <c r="Q253" s="205"/>
      <c r="R253" s="207"/>
      <c r="T253" s="182"/>
      <c r="U253" s="182"/>
    </row>
    <row r="254" spans="2:21" ht="9.75" customHeight="1" x14ac:dyDescent="0.4">
      <c r="B254" s="1"/>
      <c r="C254" s="164" t="str">
        <f t="shared" si="55"/>
        <v>P015</v>
      </c>
      <c r="D254" s="203" t="s">
        <v>374</v>
      </c>
      <c r="E254" s="203"/>
      <c r="F254" s="204"/>
      <c r="G254" s="205"/>
      <c r="H254" s="205"/>
      <c r="I254" s="205"/>
      <c r="J254" s="205"/>
      <c r="K254" s="205"/>
      <c r="L254" s="205"/>
      <c r="M254" s="205"/>
      <c r="N254" s="205"/>
      <c r="O254" s="206"/>
      <c r="P254" s="204"/>
      <c r="Q254" s="205"/>
      <c r="R254" s="207"/>
      <c r="T254" s="182"/>
      <c r="U254" s="182"/>
    </row>
    <row r="255" spans="2:21" ht="9.75" customHeight="1" x14ac:dyDescent="0.4">
      <c r="B255" s="1"/>
      <c r="C255" s="164" t="str">
        <f t="shared" si="55"/>
        <v>P015</v>
      </c>
      <c r="D255" s="203" t="s">
        <v>374</v>
      </c>
      <c r="E255" s="203"/>
      <c r="F255" s="204"/>
      <c r="G255" s="205"/>
      <c r="H255" s="205"/>
      <c r="I255" s="205"/>
      <c r="J255" s="205"/>
      <c r="K255" s="205"/>
      <c r="L255" s="205"/>
      <c r="M255" s="205"/>
      <c r="N255" s="205"/>
      <c r="O255" s="206"/>
      <c r="P255" s="204"/>
      <c r="Q255" s="205"/>
      <c r="R255" s="207"/>
      <c r="T255" s="182"/>
      <c r="U255" s="182"/>
    </row>
    <row r="256" spans="2:21" ht="9.75" customHeight="1" x14ac:dyDescent="0.4">
      <c r="B256" s="1"/>
      <c r="C256" s="164" t="str">
        <f t="shared" si="55"/>
        <v>P015</v>
      </c>
      <c r="D256" s="203" t="s">
        <v>374</v>
      </c>
      <c r="E256" s="203"/>
      <c r="F256" s="204"/>
      <c r="G256" s="205"/>
      <c r="H256" s="205"/>
      <c r="I256" s="205"/>
      <c r="J256" s="205"/>
      <c r="K256" s="205"/>
      <c r="L256" s="205"/>
      <c r="M256" s="205"/>
      <c r="N256" s="205"/>
      <c r="O256" s="206"/>
      <c r="P256" s="204"/>
      <c r="Q256" s="205"/>
      <c r="R256" s="207"/>
      <c r="T256" s="182"/>
      <c r="U256" s="182"/>
    </row>
    <row r="257" spans="2:21" ht="9.75" customHeight="1" x14ac:dyDescent="0.4">
      <c r="B257" s="1"/>
      <c r="C257" s="164" t="str">
        <f t="shared" si="55"/>
        <v>P015</v>
      </c>
      <c r="D257" s="203" t="s">
        <v>374</v>
      </c>
      <c r="E257" s="203"/>
      <c r="F257" s="204"/>
      <c r="G257" s="205"/>
      <c r="H257" s="205"/>
      <c r="I257" s="205"/>
      <c r="J257" s="205"/>
      <c r="K257" s="205"/>
      <c r="L257" s="205"/>
      <c r="M257" s="205"/>
      <c r="N257" s="205"/>
      <c r="O257" s="206"/>
      <c r="P257" s="204"/>
      <c r="Q257" s="205"/>
      <c r="R257" s="207"/>
      <c r="T257" s="182"/>
      <c r="U257" s="182"/>
    </row>
    <row r="258" spans="2:21" ht="9.75" customHeight="1" x14ac:dyDescent="0.4">
      <c r="B258" s="1"/>
      <c r="C258" s="164" t="str">
        <f t="shared" si="55"/>
        <v>P015</v>
      </c>
      <c r="D258" s="203" t="s">
        <v>374</v>
      </c>
      <c r="E258" s="203"/>
      <c r="F258" s="204"/>
      <c r="G258" s="205"/>
      <c r="H258" s="205"/>
      <c r="I258" s="205"/>
      <c r="J258" s="205"/>
      <c r="K258" s="205"/>
      <c r="L258" s="205"/>
      <c r="M258" s="205"/>
      <c r="N258" s="205"/>
      <c r="O258" s="206"/>
      <c r="P258" s="204"/>
      <c r="Q258" s="205"/>
      <c r="R258" s="207"/>
      <c r="T258" s="182"/>
      <c r="U258" s="182"/>
    </row>
    <row r="259" spans="2:21" ht="9.75" customHeight="1" x14ac:dyDescent="0.4">
      <c r="B259" s="1"/>
      <c r="C259" s="164" t="str">
        <f t="shared" si="55"/>
        <v>P015</v>
      </c>
      <c r="D259" s="203" t="s">
        <v>374</v>
      </c>
      <c r="E259" s="203"/>
      <c r="F259" s="204"/>
      <c r="G259" s="205"/>
      <c r="H259" s="205"/>
      <c r="I259" s="205"/>
      <c r="J259" s="205"/>
      <c r="K259" s="205"/>
      <c r="L259" s="205"/>
      <c r="M259" s="205"/>
      <c r="N259" s="205"/>
      <c r="O259" s="206"/>
      <c r="P259" s="204"/>
      <c r="Q259" s="205"/>
      <c r="R259" s="207"/>
      <c r="T259" s="182"/>
      <c r="U259" s="182"/>
    </row>
    <row r="260" spans="2:21" ht="9.75" customHeight="1" x14ac:dyDescent="0.4">
      <c r="B260" s="1"/>
      <c r="C260" s="164" t="str">
        <f t="shared" si="55"/>
        <v>P015</v>
      </c>
      <c r="D260" s="203" t="s">
        <v>310</v>
      </c>
      <c r="E260" s="203"/>
      <c r="F260" s="204"/>
      <c r="G260" s="205"/>
      <c r="H260" s="205"/>
      <c r="I260" s="205"/>
      <c r="J260" s="205"/>
      <c r="K260" s="205"/>
      <c r="L260" s="205"/>
      <c r="M260" s="205"/>
      <c r="N260" s="205"/>
      <c r="O260" s="206"/>
      <c r="P260" s="204"/>
      <c r="Q260" s="205"/>
      <c r="R260" s="207"/>
      <c r="T260" s="182"/>
      <c r="U260" s="182"/>
    </row>
    <row r="261" spans="2:21" ht="9.75" customHeight="1" x14ac:dyDescent="0.4">
      <c r="B261" s="1"/>
      <c r="C261" s="164" t="str">
        <f t="shared" si="55"/>
        <v>P015</v>
      </c>
      <c r="D261" s="203" t="s">
        <v>311</v>
      </c>
      <c r="E261" s="203"/>
      <c r="F261" s="204"/>
      <c r="G261" s="205"/>
      <c r="H261" s="205"/>
      <c r="I261" s="205"/>
      <c r="J261" s="205"/>
      <c r="K261" s="205"/>
      <c r="L261" s="205"/>
      <c r="M261" s="205"/>
      <c r="N261" s="205"/>
      <c r="O261" s="206"/>
      <c r="P261" s="204"/>
      <c r="Q261" s="205"/>
      <c r="R261" s="207"/>
      <c r="T261" s="182"/>
      <c r="U261" s="182"/>
    </row>
    <row r="262" spans="2:21" ht="9.75" customHeight="1" x14ac:dyDescent="0.4">
      <c r="B262" s="1"/>
      <c r="C262" s="164" t="str">
        <f t="shared" si="55"/>
        <v>P015</v>
      </c>
      <c r="D262" s="203" t="s">
        <v>312</v>
      </c>
      <c r="E262" s="203"/>
      <c r="F262" s="204"/>
      <c r="G262" s="205"/>
      <c r="H262" s="205"/>
      <c r="I262" s="205"/>
      <c r="J262" s="205"/>
      <c r="K262" s="205"/>
      <c r="L262" s="205"/>
      <c r="M262" s="205"/>
      <c r="N262" s="205"/>
      <c r="O262" s="206"/>
      <c r="P262" s="204"/>
      <c r="Q262" s="205"/>
      <c r="R262" s="207"/>
      <c r="T262" s="182"/>
      <c r="U262" s="182"/>
    </row>
    <row r="263" spans="2:21" ht="9.75" customHeight="1" x14ac:dyDescent="0.4">
      <c r="B263" s="1"/>
      <c r="C263" s="164" t="str">
        <f t="shared" si="55"/>
        <v>P015</v>
      </c>
      <c r="D263" s="203" t="s">
        <v>313</v>
      </c>
      <c r="E263" s="203">
        <v>1</v>
      </c>
      <c r="F263" s="204">
        <v>1</v>
      </c>
      <c r="G263" s="205">
        <v>1</v>
      </c>
      <c r="H263" s="205">
        <v>1</v>
      </c>
      <c r="I263" s="205">
        <v>1</v>
      </c>
      <c r="J263" s="205">
        <v>1</v>
      </c>
      <c r="K263" s="208">
        <v>1</v>
      </c>
      <c r="L263" s="208">
        <v>1</v>
      </c>
      <c r="M263" s="208">
        <v>0</v>
      </c>
      <c r="N263" s="208">
        <v>0</v>
      </c>
      <c r="O263" s="209">
        <v>0</v>
      </c>
      <c r="P263" s="32">
        <f t="shared" ref="P263:P264" si="56">MIN(F263:O263)</f>
        <v>0</v>
      </c>
      <c r="Q263" s="6">
        <f t="shared" ref="Q263:Q264" si="57">E263-P263</f>
        <v>1</v>
      </c>
      <c r="R263" s="59">
        <f t="shared" ref="R263:R264" si="58">Q263/E263</f>
        <v>1</v>
      </c>
      <c r="T263" s="182"/>
      <c r="U263" s="182"/>
    </row>
    <row r="264" spans="2:21" ht="9.75" customHeight="1" x14ac:dyDescent="0.4">
      <c r="B264" s="1"/>
      <c r="C264" s="165" t="str">
        <f t="shared" si="55"/>
        <v>P015</v>
      </c>
      <c r="D264" s="65" t="s">
        <v>314</v>
      </c>
      <c r="E264" s="65">
        <f t="shared" ref="E264:O264" si="59">SUM(E248:E263)</f>
        <v>1</v>
      </c>
      <c r="F264" s="104">
        <f t="shared" si="59"/>
        <v>1</v>
      </c>
      <c r="G264" s="128">
        <f t="shared" si="59"/>
        <v>1</v>
      </c>
      <c r="H264" s="128">
        <f t="shared" si="59"/>
        <v>1</v>
      </c>
      <c r="I264" s="128">
        <f t="shared" si="59"/>
        <v>1</v>
      </c>
      <c r="J264" s="128">
        <f t="shared" si="59"/>
        <v>1</v>
      </c>
      <c r="K264" s="128">
        <f t="shared" si="59"/>
        <v>1</v>
      </c>
      <c r="L264" s="128">
        <f t="shared" si="59"/>
        <v>1</v>
      </c>
      <c r="M264" s="128">
        <f t="shared" si="59"/>
        <v>0</v>
      </c>
      <c r="N264" s="128">
        <f t="shared" si="59"/>
        <v>0</v>
      </c>
      <c r="O264" s="129">
        <f t="shared" si="59"/>
        <v>0</v>
      </c>
      <c r="P264" s="104">
        <f t="shared" si="56"/>
        <v>0</v>
      </c>
      <c r="Q264" s="128">
        <f t="shared" si="57"/>
        <v>1</v>
      </c>
      <c r="R264" s="72">
        <f t="shared" si="58"/>
        <v>1</v>
      </c>
      <c r="T264" s="182"/>
      <c r="U264" s="182"/>
    </row>
    <row r="265" spans="2:21" ht="9.75" customHeight="1" x14ac:dyDescent="0.4">
      <c r="B265" s="1"/>
      <c r="C265" s="15" t="s">
        <v>91</v>
      </c>
      <c r="D265" s="15" t="s">
        <v>300</v>
      </c>
      <c r="E265" s="17"/>
      <c r="F265" s="32"/>
      <c r="G265" s="6"/>
      <c r="H265" s="6"/>
      <c r="I265" s="6"/>
      <c r="J265" s="6"/>
      <c r="K265" s="6"/>
      <c r="L265" s="6"/>
      <c r="M265" s="6"/>
      <c r="N265" s="6"/>
      <c r="O265" s="31"/>
      <c r="P265" s="32"/>
      <c r="Q265" s="6"/>
      <c r="R265" s="59"/>
      <c r="T265" s="182"/>
      <c r="U265" s="182"/>
    </row>
    <row r="266" spans="2:21" ht="9.75" customHeight="1" x14ac:dyDescent="0.4">
      <c r="B266" s="1"/>
      <c r="C266" s="164" t="str">
        <f t="shared" ref="C266:C281" si="60">C265</f>
        <v>P016</v>
      </c>
      <c r="D266" s="17" t="s">
        <v>301</v>
      </c>
      <c r="E266" s="17"/>
      <c r="F266" s="32"/>
      <c r="G266" s="6"/>
      <c r="H266" s="6"/>
      <c r="I266" s="6"/>
      <c r="J266" s="6"/>
      <c r="K266" s="6"/>
      <c r="L266" s="6"/>
      <c r="M266" s="6"/>
      <c r="N266" s="6"/>
      <c r="O266" s="31"/>
      <c r="P266" s="32"/>
      <c r="Q266" s="6"/>
      <c r="R266" s="59"/>
      <c r="T266" s="182"/>
      <c r="U266" s="182"/>
    </row>
    <row r="267" spans="2:21" ht="9.75" customHeight="1" x14ac:dyDescent="0.4">
      <c r="B267" s="1"/>
      <c r="C267" s="164" t="str">
        <f t="shared" si="60"/>
        <v>P016</v>
      </c>
      <c r="D267" s="17" t="s">
        <v>303</v>
      </c>
      <c r="E267" s="17"/>
      <c r="F267" s="32"/>
      <c r="G267" s="6"/>
      <c r="H267" s="6"/>
      <c r="I267" s="6"/>
      <c r="J267" s="6"/>
      <c r="K267" s="74"/>
      <c r="L267" s="74"/>
      <c r="M267" s="74"/>
      <c r="N267" s="74"/>
      <c r="O267" s="123"/>
      <c r="P267" s="32"/>
      <c r="Q267" s="6"/>
      <c r="R267" s="59"/>
      <c r="T267" s="182"/>
      <c r="U267" s="182"/>
    </row>
    <row r="268" spans="2:21" ht="9.75" customHeight="1" x14ac:dyDescent="0.4">
      <c r="B268" s="1"/>
      <c r="C268" s="164" t="str">
        <f t="shared" si="60"/>
        <v>P016</v>
      </c>
      <c r="D268" s="17" t="s">
        <v>369</v>
      </c>
      <c r="E268" s="17"/>
      <c r="F268" s="32"/>
      <c r="G268" s="6"/>
      <c r="H268" s="6"/>
      <c r="I268" s="6"/>
      <c r="J268" s="6"/>
      <c r="K268" s="192"/>
      <c r="L268" s="192"/>
      <c r="M268" s="192"/>
      <c r="N268" s="192"/>
      <c r="O268" s="193"/>
      <c r="P268" s="32"/>
      <c r="Q268" s="6"/>
      <c r="R268" s="59"/>
      <c r="T268" s="182"/>
      <c r="U268" s="182"/>
    </row>
    <row r="269" spans="2:21" ht="9.75" customHeight="1" x14ac:dyDescent="0.4">
      <c r="B269" s="1"/>
      <c r="C269" s="164" t="str">
        <f t="shared" si="60"/>
        <v>P016</v>
      </c>
      <c r="D269" s="17" t="s">
        <v>369</v>
      </c>
      <c r="E269" s="17"/>
      <c r="F269" s="32"/>
      <c r="G269" s="6"/>
      <c r="H269" s="6"/>
      <c r="I269" s="6"/>
      <c r="J269" s="6"/>
      <c r="K269" s="192"/>
      <c r="L269" s="192"/>
      <c r="M269" s="192"/>
      <c r="N269" s="192"/>
      <c r="O269" s="193"/>
      <c r="P269" s="32"/>
      <c r="Q269" s="6"/>
      <c r="R269" s="59"/>
      <c r="T269" s="182"/>
      <c r="U269" s="182"/>
    </row>
    <row r="270" spans="2:21" ht="9.75" customHeight="1" x14ac:dyDescent="0.4">
      <c r="B270" s="1"/>
      <c r="C270" s="164" t="str">
        <f t="shared" si="60"/>
        <v>P016</v>
      </c>
      <c r="D270" s="17" t="s">
        <v>308</v>
      </c>
      <c r="E270" s="17"/>
      <c r="F270" s="32"/>
      <c r="G270" s="6"/>
      <c r="H270" s="6"/>
      <c r="I270" s="6"/>
      <c r="J270" s="6"/>
      <c r="K270" s="192"/>
      <c r="L270" s="192"/>
      <c r="M270" s="192"/>
      <c r="N270" s="192"/>
      <c r="O270" s="193"/>
      <c r="P270" s="32"/>
      <c r="Q270" s="6"/>
      <c r="R270" s="59"/>
      <c r="T270" s="182"/>
      <c r="U270" s="182"/>
    </row>
    <row r="271" spans="2:21" ht="9.75" customHeight="1" x14ac:dyDescent="0.4">
      <c r="B271" s="1"/>
      <c r="C271" s="164" t="str">
        <f t="shared" si="60"/>
        <v>P016</v>
      </c>
      <c r="D271" s="17" t="s">
        <v>388</v>
      </c>
      <c r="E271" s="17">
        <v>60</v>
      </c>
      <c r="F271" s="8">
        <v>53</v>
      </c>
      <c r="G271" s="6">
        <v>43</v>
      </c>
      <c r="H271" s="6">
        <v>31</v>
      </c>
      <c r="I271" s="6">
        <v>27</v>
      </c>
      <c r="J271" s="6">
        <v>28</v>
      </c>
      <c r="K271" s="74">
        <v>21</v>
      </c>
      <c r="L271" s="74">
        <v>29</v>
      </c>
      <c r="M271" s="74">
        <v>24</v>
      </c>
      <c r="N271" s="74">
        <v>33</v>
      </c>
      <c r="O271" s="123">
        <v>46</v>
      </c>
      <c r="P271" s="32">
        <f>MIN(F271:O271)</f>
        <v>21</v>
      </c>
      <c r="Q271" s="6">
        <f>E271-P271</f>
        <v>39</v>
      </c>
      <c r="R271" s="59">
        <f>Q271/E271</f>
        <v>0.65</v>
      </c>
      <c r="T271" s="182"/>
      <c r="U271" s="182"/>
    </row>
    <row r="272" spans="2:21" ht="9.75" customHeight="1" x14ac:dyDescent="0.4">
      <c r="B272" s="1"/>
      <c r="C272" s="164" t="str">
        <f t="shared" si="60"/>
        <v>P016</v>
      </c>
      <c r="D272" s="17" t="s">
        <v>374</v>
      </c>
      <c r="E272" s="17"/>
      <c r="F272" s="32"/>
      <c r="G272" s="6"/>
      <c r="H272" s="6"/>
      <c r="I272" s="6"/>
      <c r="J272" s="6"/>
      <c r="K272" s="192"/>
      <c r="L272" s="192"/>
      <c r="M272" s="192"/>
      <c r="N272" s="192"/>
      <c r="O272" s="193"/>
      <c r="P272" s="32"/>
      <c r="Q272" s="6"/>
      <c r="R272" s="59"/>
      <c r="T272" s="182"/>
      <c r="U272" s="182"/>
    </row>
    <row r="273" spans="2:21" ht="9.75" customHeight="1" x14ac:dyDescent="0.4">
      <c r="B273" s="1"/>
      <c r="C273" s="164" t="str">
        <f t="shared" si="60"/>
        <v>P016</v>
      </c>
      <c r="D273" s="17" t="s">
        <v>374</v>
      </c>
      <c r="E273" s="17"/>
      <c r="F273" s="32"/>
      <c r="G273" s="6"/>
      <c r="H273" s="6"/>
      <c r="I273" s="6"/>
      <c r="J273" s="6"/>
      <c r="K273" s="192"/>
      <c r="L273" s="192"/>
      <c r="M273" s="192"/>
      <c r="N273" s="192"/>
      <c r="O273" s="193"/>
      <c r="P273" s="32"/>
      <c r="Q273" s="6"/>
      <c r="R273" s="59"/>
      <c r="T273" s="182"/>
      <c r="U273" s="182"/>
    </row>
    <row r="274" spans="2:21" ht="9.75" customHeight="1" x14ac:dyDescent="0.4">
      <c r="B274" s="1"/>
      <c r="C274" s="164" t="str">
        <f t="shared" si="60"/>
        <v>P016</v>
      </c>
      <c r="D274" s="17" t="s">
        <v>374</v>
      </c>
      <c r="E274" s="17"/>
      <c r="F274" s="32"/>
      <c r="G274" s="6"/>
      <c r="H274" s="6"/>
      <c r="I274" s="6"/>
      <c r="J274" s="6"/>
      <c r="K274" s="192"/>
      <c r="L274" s="192"/>
      <c r="M274" s="192"/>
      <c r="N274" s="192"/>
      <c r="O274" s="193"/>
      <c r="P274" s="32"/>
      <c r="Q274" s="6"/>
      <c r="R274" s="59"/>
      <c r="T274" s="182"/>
      <c r="U274" s="182"/>
    </row>
    <row r="275" spans="2:21" ht="9.75" customHeight="1" x14ac:dyDescent="0.4">
      <c r="B275" s="1"/>
      <c r="C275" s="164" t="str">
        <f t="shared" si="60"/>
        <v>P016</v>
      </c>
      <c r="D275" s="17" t="s">
        <v>374</v>
      </c>
      <c r="E275" s="17"/>
      <c r="F275" s="32"/>
      <c r="G275" s="6"/>
      <c r="H275" s="6"/>
      <c r="I275" s="6"/>
      <c r="J275" s="6"/>
      <c r="K275" s="192"/>
      <c r="L275" s="192"/>
      <c r="M275" s="192"/>
      <c r="N275" s="192"/>
      <c r="O275" s="193"/>
      <c r="P275" s="32"/>
      <c r="Q275" s="6"/>
      <c r="R275" s="59"/>
      <c r="T275" s="182"/>
      <c r="U275" s="182"/>
    </row>
    <row r="276" spans="2:21" ht="9.75" customHeight="1" x14ac:dyDescent="0.4">
      <c r="B276" s="1"/>
      <c r="C276" s="164" t="str">
        <f t="shared" si="60"/>
        <v>P016</v>
      </c>
      <c r="D276" s="17" t="s">
        <v>374</v>
      </c>
      <c r="E276" s="17"/>
      <c r="F276" s="32"/>
      <c r="G276" s="6"/>
      <c r="H276" s="6"/>
      <c r="I276" s="6"/>
      <c r="J276" s="6"/>
      <c r="K276" s="192"/>
      <c r="L276" s="192"/>
      <c r="M276" s="192"/>
      <c r="N276" s="192"/>
      <c r="O276" s="193"/>
      <c r="P276" s="32"/>
      <c r="Q276" s="6"/>
      <c r="R276" s="59"/>
      <c r="T276" s="182"/>
      <c r="U276" s="182"/>
    </row>
    <row r="277" spans="2:21" ht="9.75" customHeight="1" x14ac:dyDescent="0.4">
      <c r="B277" s="1"/>
      <c r="C277" s="164" t="str">
        <f t="shared" si="60"/>
        <v>P016</v>
      </c>
      <c r="D277" s="17" t="s">
        <v>310</v>
      </c>
      <c r="E277" s="17">
        <v>2</v>
      </c>
      <c r="F277" s="8">
        <v>2</v>
      </c>
      <c r="G277" s="6">
        <v>2</v>
      </c>
      <c r="H277" s="6">
        <v>2</v>
      </c>
      <c r="I277" s="6">
        <v>2</v>
      </c>
      <c r="J277" s="6">
        <v>2</v>
      </c>
      <c r="K277" s="74">
        <v>2</v>
      </c>
      <c r="L277" s="74">
        <v>2</v>
      </c>
      <c r="M277" s="74">
        <v>2</v>
      </c>
      <c r="N277" s="74">
        <v>2</v>
      </c>
      <c r="O277" s="123">
        <v>2</v>
      </c>
      <c r="P277" s="32">
        <f>MIN(F277:O277)</f>
        <v>2</v>
      </c>
      <c r="Q277" s="6">
        <f>E277-P277</f>
        <v>0</v>
      </c>
      <c r="R277" s="59">
        <f>Q277/E277</f>
        <v>0</v>
      </c>
      <c r="T277" s="182"/>
      <c r="U277" s="182"/>
    </row>
    <row r="278" spans="2:21" ht="9.75" customHeight="1" x14ac:dyDescent="0.4">
      <c r="B278" s="1"/>
      <c r="C278" s="189" t="str">
        <f t="shared" si="60"/>
        <v>P016</v>
      </c>
      <c r="D278" s="17" t="s">
        <v>311</v>
      </c>
      <c r="E278" s="17"/>
      <c r="F278" s="32"/>
      <c r="G278" s="6"/>
      <c r="H278" s="6"/>
      <c r="I278" s="6"/>
      <c r="J278" s="6"/>
      <c r="K278" s="6"/>
      <c r="L278" s="6"/>
      <c r="M278" s="6"/>
      <c r="N278" s="6"/>
      <c r="O278" s="31"/>
      <c r="P278" s="32"/>
      <c r="Q278" s="6"/>
      <c r="R278" s="59"/>
      <c r="T278" s="182"/>
      <c r="U278" s="182"/>
    </row>
    <row r="279" spans="2:21" ht="9.75" customHeight="1" x14ac:dyDescent="0.4">
      <c r="B279" s="1"/>
      <c r="C279" s="189" t="str">
        <f t="shared" si="60"/>
        <v>P016</v>
      </c>
      <c r="D279" s="17" t="s">
        <v>312</v>
      </c>
      <c r="E279" s="17"/>
      <c r="F279" s="32"/>
      <c r="G279" s="6"/>
      <c r="H279" s="6"/>
      <c r="I279" s="6"/>
      <c r="J279" s="6"/>
      <c r="K279" s="6"/>
      <c r="L279" s="6"/>
      <c r="M279" s="6"/>
      <c r="N279" s="6"/>
      <c r="O279" s="31"/>
      <c r="P279" s="32"/>
      <c r="Q279" s="6"/>
      <c r="R279" s="59"/>
      <c r="T279" s="182"/>
      <c r="U279" s="182"/>
    </row>
    <row r="280" spans="2:21" ht="9.75" customHeight="1" x14ac:dyDescent="0.4">
      <c r="B280" s="1"/>
      <c r="C280" s="189" t="str">
        <f t="shared" si="60"/>
        <v>P016</v>
      </c>
      <c r="D280" s="17" t="s">
        <v>313</v>
      </c>
      <c r="E280" s="17"/>
      <c r="F280" s="32"/>
      <c r="G280" s="6"/>
      <c r="H280" s="6"/>
      <c r="I280" s="6"/>
      <c r="J280" s="6"/>
      <c r="K280" s="6"/>
      <c r="L280" s="6"/>
      <c r="M280" s="6"/>
      <c r="N280" s="6"/>
      <c r="O280" s="31"/>
      <c r="P280" s="32"/>
      <c r="Q280" s="6"/>
      <c r="R280" s="59"/>
      <c r="T280" s="182"/>
      <c r="U280" s="182"/>
    </row>
    <row r="281" spans="2:21" ht="9.75" customHeight="1" x14ac:dyDescent="0.4">
      <c r="B281" s="1"/>
      <c r="C281" s="190" t="str">
        <f t="shared" si="60"/>
        <v>P016</v>
      </c>
      <c r="D281" s="65" t="s">
        <v>314</v>
      </c>
      <c r="E281" s="65">
        <f t="shared" ref="E281:O281" si="61">SUM(E265:E280)</f>
        <v>62</v>
      </c>
      <c r="F281" s="104">
        <f t="shared" si="61"/>
        <v>55</v>
      </c>
      <c r="G281" s="128">
        <f t="shared" si="61"/>
        <v>45</v>
      </c>
      <c r="H281" s="128">
        <f t="shared" si="61"/>
        <v>33</v>
      </c>
      <c r="I281" s="128">
        <f t="shared" si="61"/>
        <v>29</v>
      </c>
      <c r="J281" s="128">
        <f t="shared" si="61"/>
        <v>30</v>
      </c>
      <c r="K281" s="128">
        <f t="shared" si="61"/>
        <v>23</v>
      </c>
      <c r="L281" s="128">
        <f t="shared" si="61"/>
        <v>31</v>
      </c>
      <c r="M281" s="128">
        <f t="shared" si="61"/>
        <v>26</v>
      </c>
      <c r="N281" s="128">
        <f t="shared" si="61"/>
        <v>35</v>
      </c>
      <c r="O281" s="129">
        <f t="shared" si="61"/>
        <v>48</v>
      </c>
      <c r="P281" s="104">
        <f>MIN(F281:O281)</f>
        <v>23</v>
      </c>
      <c r="Q281" s="128">
        <f>E281-P281</f>
        <v>39</v>
      </c>
      <c r="R281" s="72">
        <f>Q281/E281</f>
        <v>0.62903225806451613</v>
      </c>
      <c r="T281" s="182"/>
      <c r="U281" s="182"/>
    </row>
    <row r="282" spans="2:21" ht="9.75" customHeight="1" x14ac:dyDescent="0.4">
      <c r="B282" s="1"/>
      <c r="C282" s="15" t="s">
        <v>49</v>
      </c>
      <c r="D282" s="15" t="s">
        <v>300</v>
      </c>
      <c r="E282" s="15"/>
      <c r="F282" s="73"/>
      <c r="G282" s="108"/>
      <c r="H282" s="108"/>
      <c r="I282" s="108"/>
      <c r="J282" s="108"/>
      <c r="K282" s="108"/>
      <c r="L282" s="108"/>
      <c r="M282" s="108"/>
      <c r="N282" s="108"/>
      <c r="O282" s="109"/>
      <c r="P282" s="73"/>
      <c r="Q282" s="108"/>
      <c r="R282" s="188"/>
      <c r="T282" s="182"/>
      <c r="U282" s="182"/>
    </row>
    <row r="283" spans="2:21" ht="9.75" customHeight="1" x14ac:dyDescent="0.4">
      <c r="B283" s="1"/>
      <c r="C283" s="164" t="str">
        <f t="shared" ref="C283:C298" si="62">C282</f>
        <v>P017</v>
      </c>
      <c r="D283" s="17" t="s">
        <v>301</v>
      </c>
      <c r="E283" s="17"/>
      <c r="F283" s="32"/>
      <c r="G283" s="6"/>
      <c r="H283" s="6"/>
      <c r="I283" s="6"/>
      <c r="J283" s="6"/>
      <c r="K283" s="6"/>
      <c r="L283" s="6"/>
      <c r="M283" s="6"/>
      <c r="N283" s="6"/>
      <c r="O283" s="31"/>
      <c r="P283" s="32"/>
      <c r="Q283" s="6"/>
      <c r="R283" s="59"/>
      <c r="T283" s="182"/>
      <c r="U283" s="182"/>
    </row>
    <row r="284" spans="2:21" ht="9.75" customHeight="1" x14ac:dyDescent="0.4">
      <c r="B284" s="1"/>
      <c r="C284" s="164" t="str">
        <f t="shared" si="62"/>
        <v>P017</v>
      </c>
      <c r="D284" s="17" t="s">
        <v>303</v>
      </c>
      <c r="E284" s="17"/>
      <c r="F284" s="32"/>
      <c r="G284" s="6"/>
      <c r="H284" s="6"/>
      <c r="I284" s="6"/>
      <c r="J284" s="6"/>
      <c r="K284" s="6"/>
      <c r="L284" s="6"/>
      <c r="M284" s="6"/>
      <c r="N284" s="6"/>
      <c r="O284" s="31"/>
      <c r="P284" s="32"/>
      <c r="Q284" s="6"/>
      <c r="R284" s="59"/>
      <c r="T284" s="182"/>
      <c r="U284" s="182"/>
    </row>
    <row r="285" spans="2:21" ht="9.75" customHeight="1" x14ac:dyDescent="0.4">
      <c r="B285" s="1"/>
      <c r="C285" s="164" t="str">
        <f t="shared" si="62"/>
        <v>P017</v>
      </c>
      <c r="D285" s="17" t="s">
        <v>369</v>
      </c>
      <c r="E285" s="17"/>
      <c r="F285" s="32"/>
      <c r="G285" s="6"/>
      <c r="H285" s="6"/>
      <c r="I285" s="6"/>
      <c r="J285" s="6"/>
      <c r="K285" s="6"/>
      <c r="L285" s="6"/>
      <c r="M285" s="6"/>
      <c r="N285" s="6"/>
      <c r="O285" s="31"/>
      <c r="P285" s="32"/>
      <c r="Q285" s="6"/>
      <c r="R285" s="59"/>
      <c r="T285" s="182"/>
      <c r="U285" s="182"/>
    </row>
    <row r="286" spans="2:21" ht="9.75" customHeight="1" x14ac:dyDescent="0.4">
      <c r="B286" s="1"/>
      <c r="C286" s="164" t="str">
        <f t="shared" si="62"/>
        <v>P017</v>
      </c>
      <c r="D286" s="17" t="s">
        <v>369</v>
      </c>
      <c r="E286" s="17"/>
      <c r="F286" s="32"/>
      <c r="G286" s="6"/>
      <c r="H286" s="6"/>
      <c r="I286" s="6"/>
      <c r="J286" s="6"/>
      <c r="K286" s="6"/>
      <c r="L286" s="6"/>
      <c r="M286" s="6"/>
      <c r="N286" s="6"/>
      <c r="O286" s="31"/>
      <c r="P286" s="32"/>
      <c r="Q286" s="6"/>
      <c r="R286" s="59"/>
      <c r="T286" s="182"/>
      <c r="U286" s="182"/>
    </row>
    <row r="287" spans="2:21" ht="9.75" customHeight="1" x14ac:dyDescent="0.4">
      <c r="B287" s="1"/>
      <c r="C287" s="164" t="str">
        <f t="shared" si="62"/>
        <v>P017</v>
      </c>
      <c r="D287" s="17" t="s">
        <v>308</v>
      </c>
      <c r="E287" s="17"/>
      <c r="F287" s="32"/>
      <c r="G287" s="6"/>
      <c r="H287" s="6"/>
      <c r="I287" s="6"/>
      <c r="J287" s="6"/>
      <c r="K287" s="6"/>
      <c r="L287" s="6"/>
      <c r="M287" s="6"/>
      <c r="N287" s="6"/>
      <c r="O287" s="31"/>
      <c r="P287" s="32"/>
      <c r="Q287" s="6"/>
      <c r="R287" s="59"/>
      <c r="T287" s="182"/>
      <c r="U287" s="182"/>
    </row>
    <row r="288" spans="2:21" ht="9.75" customHeight="1" x14ac:dyDescent="0.4">
      <c r="B288" s="1"/>
      <c r="C288" s="164" t="str">
        <f t="shared" si="62"/>
        <v>P017</v>
      </c>
      <c r="D288" s="17" t="s">
        <v>389</v>
      </c>
      <c r="E288" s="17">
        <v>258</v>
      </c>
      <c r="F288" s="8">
        <v>222</v>
      </c>
      <c r="G288" s="6">
        <v>194</v>
      </c>
      <c r="H288" s="6">
        <v>118</v>
      </c>
      <c r="I288" s="58">
        <v>50</v>
      </c>
      <c r="J288" s="6">
        <v>39</v>
      </c>
      <c r="K288" s="74">
        <v>21</v>
      </c>
      <c r="L288" s="74">
        <v>28</v>
      </c>
      <c r="M288" s="74">
        <v>51</v>
      </c>
      <c r="N288" s="74">
        <v>96</v>
      </c>
      <c r="O288" s="123">
        <v>149</v>
      </c>
      <c r="P288" s="32">
        <f t="shared" ref="P288:P289" si="63">MIN(F288:O288)</f>
        <v>21</v>
      </c>
      <c r="Q288" s="6">
        <f t="shared" ref="Q288:Q289" si="64">E288-P288</f>
        <v>237</v>
      </c>
      <c r="R288" s="59">
        <f t="shared" ref="R288:R289" si="65">Q288/E288</f>
        <v>0.91860465116279066</v>
      </c>
      <c r="T288" s="182"/>
      <c r="U288" s="182"/>
    </row>
    <row r="289" spans="2:21" ht="9.75" customHeight="1" x14ac:dyDescent="0.4">
      <c r="B289" s="1"/>
      <c r="C289" s="164" t="str">
        <f t="shared" si="62"/>
        <v>P017</v>
      </c>
      <c r="D289" s="17" t="s">
        <v>372</v>
      </c>
      <c r="E289" s="17">
        <v>2</v>
      </c>
      <c r="F289" s="8">
        <v>2</v>
      </c>
      <c r="G289" s="6">
        <v>2</v>
      </c>
      <c r="H289" s="6">
        <v>1</v>
      </c>
      <c r="I289" s="6">
        <v>1</v>
      </c>
      <c r="J289" s="6">
        <v>2</v>
      </c>
      <c r="K289" s="74">
        <v>1</v>
      </c>
      <c r="L289" s="74">
        <v>0</v>
      </c>
      <c r="M289" s="74">
        <v>0</v>
      </c>
      <c r="N289" s="74">
        <v>1</v>
      </c>
      <c r="O289" s="123">
        <v>1</v>
      </c>
      <c r="P289" s="32">
        <f t="shared" si="63"/>
        <v>0</v>
      </c>
      <c r="Q289" s="6">
        <f t="shared" si="64"/>
        <v>2</v>
      </c>
      <c r="R289" s="59">
        <f t="shared" si="65"/>
        <v>1</v>
      </c>
      <c r="T289" s="182"/>
      <c r="U289" s="182"/>
    </row>
    <row r="290" spans="2:21" ht="9.75" customHeight="1" x14ac:dyDescent="0.4">
      <c r="B290" s="1"/>
      <c r="C290" s="164" t="str">
        <f t="shared" si="62"/>
        <v>P017</v>
      </c>
      <c r="D290" s="17" t="s">
        <v>374</v>
      </c>
      <c r="E290" s="17"/>
      <c r="F290" s="32"/>
      <c r="G290" s="6"/>
      <c r="H290" s="6"/>
      <c r="I290" s="6"/>
      <c r="J290" s="6"/>
      <c r="K290" s="192"/>
      <c r="L290" s="192"/>
      <c r="M290" s="192"/>
      <c r="N290" s="192"/>
      <c r="O290" s="193"/>
      <c r="P290" s="32"/>
      <c r="Q290" s="6"/>
      <c r="R290" s="59"/>
      <c r="T290" s="182"/>
      <c r="U290" s="182"/>
    </row>
    <row r="291" spans="2:21" ht="9.75" customHeight="1" x14ac:dyDescent="0.4">
      <c r="B291" s="1"/>
      <c r="C291" s="164" t="str">
        <f t="shared" si="62"/>
        <v>P017</v>
      </c>
      <c r="D291" s="17" t="s">
        <v>374</v>
      </c>
      <c r="E291" s="17"/>
      <c r="F291" s="32"/>
      <c r="G291" s="6"/>
      <c r="H291" s="6"/>
      <c r="I291" s="6"/>
      <c r="J291" s="6"/>
      <c r="K291" s="192"/>
      <c r="L291" s="192"/>
      <c r="M291" s="192"/>
      <c r="N291" s="192"/>
      <c r="O291" s="193"/>
      <c r="P291" s="32"/>
      <c r="Q291" s="6"/>
      <c r="R291" s="59"/>
      <c r="T291" s="182"/>
      <c r="U291" s="182"/>
    </row>
    <row r="292" spans="2:21" ht="9.75" customHeight="1" x14ac:dyDescent="0.4">
      <c r="B292" s="1"/>
      <c r="C292" s="164" t="str">
        <f t="shared" si="62"/>
        <v>P017</v>
      </c>
      <c r="D292" s="17" t="s">
        <v>374</v>
      </c>
      <c r="E292" s="17"/>
      <c r="F292" s="32"/>
      <c r="G292" s="6"/>
      <c r="H292" s="6"/>
      <c r="I292" s="6"/>
      <c r="J292" s="6"/>
      <c r="K292" s="192"/>
      <c r="L292" s="192"/>
      <c r="M292" s="192"/>
      <c r="N292" s="192"/>
      <c r="O292" s="193"/>
      <c r="P292" s="32"/>
      <c r="Q292" s="6"/>
      <c r="R292" s="59"/>
      <c r="T292" s="182"/>
      <c r="U292" s="182"/>
    </row>
    <row r="293" spans="2:21" ht="9.75" customHeight="1" x14ac:dyDescent="0.4">
      <c r="B293" s="1"/>
      <c r="C293" s="164" t="str">
        <f t="shared" si="62"/>
        <v>P017</v>
      </c>
      <c r="D293" s="17" t="s">
        <v>374</v>
      </c>
      <c r="E293" s="17"/>
      <c r="F293" s="32"/>
      <c r="G293" s="6"/>
      <c r="H293" s="6"/>
      <c r="I293" s="6"/>
      <c r="J293" s="6"/>
      <c r="K293" s="192"/>
      <c r="L293" s="192"/>
      <c r="M293" s="192"/>
      <c r="N293" s="192"/>
      <c r="O293" s="193"/>
      <c r="P293" s="32"/>
      <c r="Q293" s="6"/>
      <c r="R293" s="59"/>
      <c r="T293" s="182"/>
      <c r="U293" s="182"/>
    </row>
    <row r="294" spans="2:21" ht="9.75" customHeight="1" x14ac:dyDescent="0.4">
      <c r="B294" s="1"/>
      <c r="C294" s="164" t="str">
        <f t="shared" si="62"/>
        <v>P017</v>
      </c>
      <c r="D294" s="17" t="s">
        <v>310</v>
      </c>
      <c r="E294" s="17">
        <v>9</v>
      </c>
      <c r="F294" s="8">
        <v>8</v>
      </c>
      <c r="G294" s="6">
        <v>9</v>
      </c>
      <c r="H294" s="6">
        <v>6</v>
      </c>
      <c r="I294" s="6">
        <v>7</v>
      </c>
      <c r="J294" s="6">
        <v>7</v>
      </c>
      <c r="K294" s="74">
        <v>0</v>
      </c>
      <c r="L294" s="74">
        <v>0</v>
      </c>
      <c r="M294" s="74">
        <v>4</v>
      </c>
      <c r="N294" s="74">
        <v>3</v>
      </c>
      <c r="O294" s="123">
        <v>3</v>
      </c>
      <c r="P294" s="32">
        <f>MIN(F294:O294)</f>
        <v>0</v>
      </c>
      <c r="Q294" s="6">
        <f>E294-P294</f>
        <v>9</v>
      </c>
      <c r="R294" s="59">
        <f>Q294/E294</f>
        <v>1</v>
      </c>
      <c r="T294" s="182"/>
      <c r="U294" s="182"/>
    </row>
    <row r="295" spans="2:21" ht="9.75" customHeight="1" x14ac:dyDescent="0.4">
      <c r="B295" s="1"/>
      <c r="C295" s="164" t="str">
        <f t="shared" si="62"/>
        <v>P017</v>
      </c>
      <c r="D295" s="17" t="s">
        <v>311</v>
      </c>
      <c r="E295" s="17"/>
      <c r="F295" s="32"/>
      <c r="G295" s="6"/>
      <c r="H295" s="6"/>
      <c r="I295" s="6"/>
      <c r="J295" s="6"/>
      <c r="K295" s="6"/>
      <c r="L295" s="6"/>
      <c r="M295" s="6"/>
      <c r="N295" s="6"/>
      <c r="O295" s="31"/>
      <c r="P295" s="32"/>
      <c r="Q295" s="6"/>
      <c r="R295" s="59"/>
      <c r="T295" s="182"/>
      <c r="U295" s="182"/>
    </row>
    <row r="296" spans="2:21" ht="9.75" customHeight="1" x14ac:dyDescent="0.4">
      <c r="B296" s="1"/>
      <c r="C296" s="164" t="str">
        <f t="shared" si="62"/>
        <v>P017</v>
      </c>
      <c r="D296" s="17" t="s">
        <v>312</v>
      </c>
      <c r="E296" s="17"/>
      <c r="F296" s="32"/>
      <c r="G296" s="6"/>
      <c r="H296" s="6"/>
      <c r="I296" s="6"/>
      <c r="J296" s="6"/>
      <c r="K296" s="6"/>
      <c r="L296" s="6"/>
      <c r="M296" s="6"/>
      <c r="N296" s="6"/>
      <c r="O296" s="31"/>
      <c r="P296" s="32"/>
      <c r="Q296" s="6"/>
      <c r="R296" s="59"/>
      <c r="T296" s="182"/>
      <c r="U296" s="182"/>
    </row>
    <row r="297" spans="2:21" ht="9.75" customHeight="1" x14ac:dyDescent="0.4">
      <c r="B297" s="1"/>
      <c r="C297" s="164" t="str">
        <f t="shared" si="62"/>
        <v>P017</v>
      </c>
      <c r="D297" s="17" t="s">
        <v>313</v>
      </c>
      <c r="E297" s="17"/>
      <c r="F297" s="32"/>
      <c r="G297" s="6"/>
      <c r="H297" s="6"/>
      <c r="I297" s="6"/>
      <c r="J297" s="6"/>
      <c r="K297" s="6"/>
      <c r="L297" s="6"/>
      <c r="M297" s="6"/>
      <c r="N297" s="6"/>
      <c r="O297" s="31"/>
      <c r="P297" s="32"/>
      <c r="Q297" s="6"/>
      <c r="R297" s="59"/>
      <c r="T297" s="182"/>
      <c r="U297" s="182"/>
    </row>
    <row r="298" spans="2:21" ht="9.75" customHeight="1" x14ac:dyDescent="0.4">
      <c r="B298" s="1"/>
      <c r="C298" s="165" t="str">
        <f t="shared" si="62"/>
        <v>P017</v>
      </c>
      <c r="D298" s="210" t="s">
        <v>314</v>
      </c>
      <c r="E298" s="211">
        <f>SUM(E282:E297)</f>
        <v>269</v>
      </c>
      <c r="F298" s="211">
        <f t="shared" ref="F298:O298" si="66">SUM(F288:F294)</f>
        <v>232</v>
      </c>
      <c r="G298" s="212">
        <f t="shared" si="66"/>
        <v>205</v>
      </c>
      <c r="H298" s="212">
        <f t="shared" si="66"/>
        <v>125</v>
      </c>
      <c r="I298" s="213">
        <f t="shared" si="66"/>
        <v>58</v>
      </c>
      <c r="J298" s="212">
        <f t="shared" si="66"/>
        <v>48</v>
      </c>
      <c r="K298" s="213">
        <f t="shared" si="66"/>
        <v>22</v>
      </c>
      <c r="L298" s="213">
        <f t="shared" si="66"/>
        <v>28</v>
      </c>
      <c r="M298" s="213">
        <f t="shared" si="66"/>
        <v>55</v>
      </c>
      <c r="N298" s="213">
        <f t="shared" si="66"/>
        <v>100</v>
      </c>
      <c r="O298" s="214">
        <f t="shared" si="66"/>
        <v>153</v>
      </c>
      <c r="P298" s="104">
        <f>MIN(F298:O298)</f>
        <v>22</v>
      </c>
      <c r="Q298" s="128">
        <f>E298-P298</f>
        <v>247</v>
      </c>
      <c r="R298" s="72">
        <f>Q298/E298</f>
        <v>0.91821561338289959</v>
      </c>
      <c r="T298" s="182"/>
      <c r="U298" s="182"/>
    </row>
    <row r="299" spans="2:21" ht="9.75" customHeight="1" x14ac:dyDescent="0.4">
      <c r="B299" s="1"/>
      <c r="C299" s="15" t="s">
        <v>71</v>
      </c>
      <c r="D299" s="15" t="s">
        <v>300</v>
      </c>
      <c r="E299" s="15"/>
      <c r="F299" s="32"/>
      <c r="G299" s="6"/>
      <c r="H299" s="6"/>
      <c r="I299" s="6"/>
      <c r="J299" s="6"/>
      <c r="K299" s="6"/>
      <c r="L299" s="6"/>
      <c r="M299" s="6"/>
      <c r="N299" s="6"/>
      <c r="O299" s="31"/>
      <c r="P299" s="73"/>
      <c r="Q299" s="108"/>
      <c r="R299" s="188"/>
      <c r="T299" s="182"/>
      <c r="U299" s="182"/>
    </row>
    <row r="300" spans="2:21" ht="9.75" customHeight="1" x14ac:dyDescent="0.4">
      <c r="B300" s="1"/>
      <c r="C300" s="164" t="str">
        <f t="shared" ref="C300:C315" si="67">C299</f>
        <v>P021</v>
      </c>
      <c r="D300" s="17" t="s">
        <v>301</v>
      </c>
      <c r="E300" s="17"/>
      <c r="F300" s="32"/>
      <c r="G300" s="6"/>
      <c r="H300" s="6"/>
      <c r="I300" s="6"/>
      <c r="J300" s="6"/>
      <c r="K300" s="6"/>
      <c r="L300" s="6"/>
      <c r="M300" s="6"/>
      <c r="N300" s="6"/>
      <c r="O300" s="31"/>
      <c r="P300" s="32"/>
      <c r="Q300" s="6"/>
      <c r="R300" s="59"/>
      <c r="T300" s="182"/>
      <c r="U300" s="182"/>
    </row>
    <row r="301" spans="2:21" ht="9.75" customHeight="1" x14ac:dyDescent="0.4">
      <c r="B301" s="1"/>
      <c r="C301" s="164" t="str">
        <f t="shared" si="67"/>
        <v>P021</v>
      </c>
      <c r="D301" s="17" t="s">
        <v>303</v>
      </c>
      <c r="E301" s="17"/>
      <c r="F301" s="32"/>
      <c r="G301" s="6"/>
      <c r="H301" s="6"/>
      <c r="I301" s="6"/>
      <c r="J301" s="6"/>
      <c r="K301" s="74"/>
      <c r="L301" s="74"/>
      <c r="M301" s="74"/>
      <c r="N301" s="74"/>
      <c r="O301" s="123"/>
      <c r="P301" s="32"/>
      <c r="Q301" s="6"/>
      <c r="R301" s="59"/>
      <c r="T301" s="182"/>
      <c r="U301" s="182"/>
    </row>
    <row r="302" spans="2:21" ht="9.75" customHeight="1" x14ac:dyDescent="0.4">
      <c r="B302" s="1"/>
      <c r="C302" s="164" t="str">
        <f t="shared" si="67"/>
        <v>P021</v>
      </c>
      <c r="D302" s="17" t="s">
        <v>369</v>
      </c>
      <c r="E302" s="17"/>
      <c r="F302" s="32"/>
      <c r="G302" s="6"/>
      <c r="H302" s="6"/>
      <c r="I302" s="6"/>
      <c r="J302" s="6"/>
      <c r="K302" s="192"/>
      <c r="L302" s="192"/>
      <c r="M302" s="192"/>
      <c r="N302" s="192"/>
      <c r="O302" s="193"/>
      <c r="P302" s="32"/>
      <c r="Q302" s="6"/>
      <c r="R302" s="59"/>
      <c r="T302" s="182"/>
      <c r="U302" s="182"/>
    </row>
    <row r="303" spans="2:21" ht="9.75" customHeight="1" x14ac:dyDescent="0.4">
      <c r="B303" s="1"/>
      <c r="C303" s="164" t="str">
        <f t="shared" si="67"/>
        <v>P021</v>
      </c>
      <c r="D303" s="17" t="s">
        <v>369</v>
      </c>
      <c r="E303" s="17"/>
      <c r="F303" s="32"/>
      <c r="G303" s="6"/>
      <c r="H303" s="6"/>
      <c r="I303" s="6"/>
      <c r="J303" s="6"/>
      <c r="K303" s="192"/>
      <c r="L303" s="192"/>
      <c r="M303" s="192"/>
      <c r="N303" s="192"/>
      <c r="O303" s="193"/>
      <c r="P303" s="32"/>
      <c r="Q303" s="6"/>
      <c r="R303" s="59"/>
      <c r="T303" s="182"/>
      <c r="U303" s="182"/>
    </row>
    <row r="304" spans="2:21" ht="9.75" customHeight="1" x14ac:dyDescent="0.4">
      <c r="B304" s="1"/>
      <c r="C304" s="164" t="str">
        <f t="shared" si="67"/>
        <v>P021</v>
      </c>
      <c r="D304" s="17" t="s">
        <v>308</v>
      </c>
      <c r="E304" s="17"/>
      <c r="F304" s="32"/>
      <c r="G304" s="6"/>
      <c r="H304" s="6"/>
      <c r="I304" s="6"/>
      <c r="J304" s="6"/>
      <c r="K304" s="192"/>
      <c r="L304" s="192"/>
      <c r="M304" s="192"/>
      <c r="N304" s="192"/>
      <c r="O304" s="193"/>
      <c r="P304" s="32"/>
      <c r="Q304" s="6"/>
      <c r="R304" s="59"/>
      <c r="T304" s="182"/>
      <c r="U304" s="182"/>
    </row>
    <row r="305" spans="1:21" ht="9.75" customHeight="1" x14ac:dyDescent="0.4">
      <c r="B305" s="1"/>
      <c r="C305" s="164" t="str">
        <f t="shared" si="67"/>
        <v>P021</v>
      </c>
      <c r="D305" s="17" t="s">
        <v>388</v>
      </c>
      <c r="E305" s="17">
        <v>75</v>
      </c>
      <c r="F305" s="8">
        <v>72</v>
      </c>
      <c r="G305" s="6">
        <v>68</v>
      </c>
      <c r="H305" s="6">
        <v>55</v>
      </c>
      <c r="I305" s="6">
        <v>48</v>
      </c>
      <c r="J305" s="6">
        <v>46</v>
      </c>
      <c r="K305" s="74">
        <v>41</v>
      </c>
      <c r="L305" s="74">
        <v>45</v>
      </c>
      <c r="M305" s="74">
        <v>44</v>
      </c>
      <c r="N305" s="74">
        <v>43</v>
      </c>
      <c r="O305" s="123">
        <v>51</v>
      </c>
      <c r="P305" s="32">
        <f>MIN(F305:O305)</f>
        <v>41</v>
      </c>
      <c r="Q305" s="6">
        <f>E305-P305</f>
        <v>34</v>
      </c>
      <c r="R305" s="59">
        <f>Q305/E305</f>
        <v>0.45333333333333331</v>
      </c>
      <c r="T305" s="182"/>
      <c r="U305" s="182"/>
    </row>
    <row r="306" spans="1:21" ht="9.75" customHeight="1" x14ac:dyDescent="0.4">
      <c r="B306" s="1"/>
      <c r="C306" s="164" t="str">
        <f t="shared" si="67"/>
        <v>P021</v>
      </c>
      <c r="D306" s="17" t="s">
        <v>374</v>
      </c>
      <c r="E306" s="17"/>
      <c r="F306" s="32"/>
      <c r="G306" s="6"/>
      <c r="H306" s="6"/>
      <c r="I306" s="6"/>
      <c r="J306" s="6"/>
      <c r="K306" s="6"/>
      <c r="L306" s="6"/>
      <c r="M306" s="6"/>
      <c r="N306" s="6"/>
      <c r="O306" s="31"/>
      <c r="P306" s="32"/>
      <c r="Q306" s="6"/>
      <c r="R306" s="59"/>
      <c r="T306" s="182"/>
      <c r="U306" s="182"/>
    </row>
    <row r="307" spans="1:21" ht="9.75" customHeight="1" x14ac:dyDescent="0.4">
      <c r="B307" s="1"/>
      <c r="C307" s="164" t="str">
        <f t="shared" si="67"/>
        <v>P021</v>
      </c>
      <c r="D307" s="17" t="s">
        <v>374</v>
      </c>
      <c r="E307" s="17"/>
      <c r="F307" s="32"/>
      <c r="G307" s="6"/>
      <c r="H307" s="6"/>
      <c r="I307" s="6"/>
      <c r="J307" s="6"/>
      <c r="K307" s="6"/>
      <c r="L307" s="6"/>
      <c r="M307" s="6"/>
      <c r="N307" s="6"/>
      <c r="O307" s="31"/>
      <c r="P307" s="32"/>
      <c r="Q307" s="6"/>
      <c r="R307" s="59"/>
      <c r="T307" s="182"/>
      <c r="U307" s="182"/>
    </row>
    <row r="308" spans="1:21" ht="9.75" customHeight="1" x14ac:dyDescent="0.4">
      <c r="B308" s="1"/>
      <c r="C308" s="164" t="str">
        <f t="shared" si="67"/>
        <v>P021</v>
      </c>
      <c r="D308" s="17" t="s">
        <v>374</v>
      </c>
      <c r="E308" s="17"/>
      <c r="F308" s="32"/>
      <c r="G308" s="6"/>
      <c r="H308" s="6"/>
      <c r="I308" s="6"/>
      <c r="J308" s="6"/>
      <c r="K308" s="6"/>
      <c r="L308" s="6"/>
      <c r="M308" s="6"/>
      <c r="N308" s="6"/>
      <c r="O308" s="31"/>
      <c r="P308" s="32"/>
      <c r="Q308" s="6"/>
      <c r="R308" s="59"/>
      <c r="T308" s="182"/>
      <c r="U308" s="182"/>
    </row>
    <row r="309" spans="1:21" ht="9.75" customHeight="1" x14ac:dyDescent="0.4">
      <c r="B309" s="1"/>
      <c r="C309" s="164" t="str">
        <f t="shared" si="67"/>
        <v>P021</v>
      </c>
      <c r="D309" s="17" t="s">
        <v>374</v>
      </c>
      <c r="E309" s="17"/>
      <c r="F309" s="32"/>
      <c r="G309" s="6"/>
      <c r="H309" s="6"/>
      <c r="I309" s="6"/>
      <c r="J309" s="6"/>
      <c r="K309" s="6"/>
      <c r="L309" s="6"/>
      <c r="M309" s="6"/>
      <c r="N309" s="6"/>
      <c r="O309" s="31"/>
      <c r="P309" s="32"/>
      <c r="Q309" s="6"/>
      <c r="R309" s="59"/>
      <c r="T309" s="182"/>
      <c r="U309" s="182"/>
    </row>
    <row r="310" spans="1:21" ht="9.75" customHeight="1" x14ac:dyDescent="0.4">
      <c r="B310" s="1"/>
      <c r="C310" s="164" t="str">
        <f t="shared" si="67"/>
        <v>P021</v>
      </c>
      <c r="D310" s="17" t="s">
        <v>374</v>
      </c>
      <c r="E310" s="17"/>
      <c r="F310" s="32"/>
      <c r="G310" s="6"/>
      <c r="H310" s="6"/>
      <c r="I310" s="6"/>
      <c r="J310" s="6"/>
      <c r="K310" s="6"/>
      <c r="L310" s="6"/>
      <c r="M310" s="6"/>
      <c r="N310" s="6"/>
      <c r="O310" s="31"/>
      <c r="P310" s="32"/>
      <c r="Q310" s="6"/>
      <c r="R310" s="59"/>
      <c r="T310" s="182"/>
      <c r="U310" s="182"/>
    </row>
    <row r="311" spans="1:21" ht="9.75" customHeight="1" x14ac:dyDescent="0.4">
      <c r="B311" s="1"/>
      <c r="C311" s="164" t="str">
        <f t="shared" si="67"/>
        <v>P021</v>
      </c>
      <c r="D311" s="17" t="s">
        <v>310</v>
      </c>
      <c r="E311" s="17"/>
      <c r="F311" s="32"/>
      <c r="G311" s="6"/>
      <c r="H311" s="6"/>
      <c r="I311" s="6"/>
      <c r="J311" s="6"/>
      <c r="K311" s="6"/>
      <c r="L311" s="6"/>
      <c r="M311" s="6"/>
      <c r="N311" s="6"/>
      <c r="O311" s="31"/>
      <c r="P311" s="32"/>
      <c r="Q311" s="6"/>
      <c r="R311" s="59"/>
      <c r="T311" s="182"/>
      <c r="U311" s="182"/>
    </row>
    <row r="312" spans="1:21" ht="9.75" customHeight="1" x14ac:dyDescent="0.4">
      <c r="B312" s="1"/>
      <c r="C312" s="164" t="str">
        <f t="shared" si="67"/>
        <v>P021</v>
      </c>
      <c r="D312" s="17" t="s">
        <v>311</v>
      </c>
      <c r="E312" s="17"/>
      <c r="F312" s="32"/>
      <c r="G312" s="6"/>
      <c r="H312" s="6"/>
      <c r="I312" s="6"/>
      <c r="J312" s="6"/>
      <c r="K312" s="6"/>
      <c r="L312" s="6"/>
      <c r="M312" s="6"/>
      <c r="N312" s="6"/>
      <c r="O312" s="31"/>
      <c r="P312" s="32"/>
      <c r="Q312" s="6"/>
      <c r="R312" s="59"/>
      <c r="T312" s="182"/>
      <c r="U312" s="182"/>
    </row>
    <row r="313" spans="1:21" ht="9.75" customHeight="1" x14ac:dyDescent="0.4">
      <c r="B313" s="1"/>
      <c r="C313" s="164" t="str">
        <f t="shared" si="67"/>
        <v>P021</v>
      </c>
      <c r="D313" s="17" t="s">
        <v>312</v>
      </c>
      <c r="E313" s="17"/>
      <c r="F313" s="32"/>
      <c r="G313" s="6"/>
      <c r="H313" s="6"/>
      <c r="I313" s="6"/>
      <c r="J313" s="6"/>
      <c r="K313" s="6"/>
      <c r="L313" s="6"/>
      <c r="M313" s="6"/>
      <c r="N313" s="6"/>
      <c r="O313" s="31"/>
      <c r="P313" s="32"/>
      <c r="Q313" s="6"/>
      <c r="R313" s="59"/>
      <c r="T313" s="182"/>
      <c r="U313" s="182"/>
    </row>
    <row r="314" spans="1:21" ht="9.75" customHeight="1" x14ac:dyDescent="0.4">
      <c r="B314" s="1"/>
      <c r="C314" s="164" t="str">
        <f t="shared" si="67"/>
        <v>P021</v>
      </c>
      <c r="D314" s="17" t="s">
        <v>313</v>
      </c>
      <c r="E314" s="17"/>
      <c r="F314" s="32"/>
      <c r="G314" s="6"/>
      <c r="H314" s="6"/>
      <c r="I314" s="6"/>
      <c r="J314" s="6"/>
      <c r="K314" s="6"/>
      <c r="L314" s="6"/>
      <c r="M314" s="6"/>
      <c r="N314" s="6"/>
      <c r="O314" s="31"/>
      <c r="P314" s="32"/>
      <c r="Q314" s="6"/>
      <c r="R314" s="59"/>
      <c r="T314" s="182"/>
      <c r="U314" s="182"/>
    </row>
    <row r="315" spans="1:21" ht="9.75" customHeight="1" x14ac:dyDescent="0.4">
      <c r="B315" s="1"/>
      <c r="C315" s="165" t="str">
        <f t="shared" si="67"/>
        <v>P021</v>
      </c>
      <c r="D315" s="65" t="s">
        <v>314</v>
      </c>
      <c r="E315" s="65">
        <f t="shared" ref="E315:O315" si="68">SUM(E299:E314)</f>
        <v>75</v>
      </c>
      <c r="F315" s="104">
        <f t="shared" si="68"/>
        <v>72</v>
      </c>
      <c r="G315" s="128">
        <f t="shared" si="68"/>
        <v>68</v>
      </c>
      <c r="H315" s="128">
        <f t="shared" si="68"/>
        <v>55</v>
      </c>
      <c r="I315" s="128">
        <f t="shared" si="68"/>
        <v>48</v>
      </c>
      <c r="J315" s="128">
        <f t="shared" si="68"/>
        <v>46</v>
      </c>
      <c r="K315" s="128">
        <f t="shared" si="68"/>
        <v>41</v>
      </c>
      <c r="L315" s="128">
        <f t="shared" si="68"/>
        <v>45</v>
      </c>
      <c r="M315" s="128">
        <f t="shared" si="68"/>
        <v>44</v>
      </c>
      <c r="N315" s="128">
        <f t="shared" si="68"/>
        <v>43</v>
      </c>
      <c r="O315" s="129">
        <f t="shared" si="68"/>
        <v>51</v>
      </c>
      <c r="P315" s="104">
        <f>MIN(F315:O315)</f>
        <v>41</v>
      </c>
      <c r="Q315" s="128">
        <f>E315-P315</f>
        <v>34</v>
      </c>
      <c r="R315" s="72">
        <f>Q315/E315</f>
        <v>0.45333333333333331</v>
      </c>
      <c r="T315" s="182"/>
      <c r="U315" s="182"/>
    </row>
    <row r="316" spans="1:21" ht="15.75" customHeight="1" x14ac:dyDescent="0.4">
      <c r="T316" s="182"/>
      <c r="U316" s="182"/>
    </row>
    <row r="317" spans="1:21" ht="15" customHeight="1" x14ac:dyDescent="0.35">
      <c r="C317" s="215" t="s">
        <v>390</v>
      </c>
      <c r="D317" s="215" t="s">
        <v>329</v>
      </c>
      <c r="E317" s="216" t="s">
        <v>320</v>
      </c>
      <c r="T317" s="182"/>
      <c r="U317" s="182"/>
    </row>
    <row r="318" spans="1:21" ht="15" customHeight="1" x14ac:dyDescent="0.4">
      <c r="C318" s="217">
        <f>SUM(E8:E315)/2</f>
        <v>786</v>
      </c>
      <c r="D318" s="218">
        <f>'By Neighborhood'!C238</f>
        <v>786</v>
      </c>
      <c r="E318" s="218">
        <f>'By Area'!C17</f>
        <v>786</v>
      </c>
      <c r="T318" s="182"/>
      <c r="U318" s="182"/>
    </row>
    <row r="319" spans="1:21" ht="15" customHeight="1" x14ac:dyDescent="0.4">
      <c r="A319" s="219" t="s">
        <v>391</v>
      </c>
      <c r="T319" s="182"/>
      <c r="U319" s="182"/>
    </row>
    <row r="320" spans="1:21" ht="15" customHeight="1" x14ac:dyDescent="0.4">
      <c r="A320" s="219" t="s">
        <v>392</v>
      </c>
      <c r="T320" s="182"/>
      <c r="U320" s="182"/>
    </row>
    <row r="321" spans="20:21" ht="15.75" customHeight="1" x14ac:dyDescent="0.4">
      <c r="T321" s="182"/>
      <c r="U321" s="182"/>
    </row>
    <row r="322" spans="20:21" ht="15.75" customHeight="1" x14ac:dyDescent="0.4">
      <c r="T322" s="182"/>
      <c r="U322" s="182"/>
    </row>
    <row r="323" spans="20:21" ht="15.75" customHeight="1" x14ac:dyDescent="0.4">
      <c r="T323" s="182"/>
      <c r="U323" s="182"/>
    </row>
    <row r="324" spans="20:21" ht="15.75" customHeight="1" x14ac:dyDescent="0.4">
      <c r="T324" s="182"/>
      <c r="U324" s="182"/>
    </row>
    <row r="325" spans="20:21" ht="15.75" customHeight="1" x14ac:dyDescent="0.4">
      <c r="T325" s="182"/>
      <c r="U325" s="182"/>
    </row>
    <row r="326" spans="20:21" ht="15.75" customHeight="1" x14ac:dyDescent="0.4">
      <c r="T326" s="182"/>
      <c r="U326" s="182"/>
    </row>
    <row r="327" spans="20:21" ht="15.75" customHeight="1" x14ac:dyDescent="0.4">
      <c r="T327" s="182"/>
      <c r="U327" s="182"/>
    </row>
    <row r="328" spans="20:21" ht="15.75" customHeight="1" x14ac:dyDescent="0.4">
      <c r="T328" s="182"/>
      <c r="U328" s="182"/>
    </row>
    <row r="329" spans="20:21" ht="15.75" customHeight="1" x14ac:dyDescent="0.4">
      <c r="T329" s="182"/>
      <c r="U329" s="182"/>
    </row>
    <row r="330" spans="20:21" ht="15.75" customHeight="1" x14ac:dyDescent="0.4">
      <c r="T330" s="182"/>
      <c r="U330" s="182"/>
    </row>
    <row r="331" spans="20:21" ht="15.75" customHeight="1" x14ac:dyDescent="0.4">
      <c r="T331" s="182"/>
      <c r="U331" s="182"/>
    </row>
    <row r="332" spans="20:21" ht="15.75" customHeight="1" x14ac:dyDescent="0.4">
      <c r="T332" s="182"/>
      <c r="U332" s="182"/>
    </row>
    <row r="333" spans="20:21" ht="15.75" customHeight="1" x14ac:dyDescent="0.4">
      <c r="T333" s="182"/>
      <c r="U333" s="182"/>
    </row>
    <row r="334" spans="20:21" ht="15.75" customHeight="1" x14ac:dyDescent="0.4">
      <c r="T334" s="182"/>
      <c r="U334" s="182"/>
    </row>
    <row r="335" spans="20:21" ht="15.75" customHeight="1" x14ac:dyDescent="0.4">
      <c r="T335" s="182"/>
      <c r="U335" s="182"/>
    </row>
    <row r="336" spans="20:21" ht="15.75" customHeight="1" x14ac:dyDescent="0.4">
      <c r="T336" s="182"/>
      <c r="U336" s="182"/>
    </row>
    <row r="337" spans="20:21" ht="15.75" customHeight="1" x14ac:dyDescent="0.4">
      <c r="T337" s="182"/>
      <c r="U337" s="182"/>
    </row>
    <row r="338" spans="20:21" ht="15.75" customHeight="1" x14ac:dyDescent="0.4">
      <c r="T338" s="182"/>
      <c r="U338" s="182"/>
    </row>
    <row r="339" spans="20:21" ht="15.75" customHeight="1" x14ac:dyDescent="0.4">
      <c r="T339" s="182"/>
      <c r="U339" s="182"/>
    </row>
    <row r="340" spans="20:21" ht="15.75" customHeight="1" x14ac:dyDescent="0.4">
      <c r="T340" s="182"/>
      <c r="U340" s="182"/>
    </row>
    <row r="341" spans="20:21" ht="15.75" customHeight="1" x14ac:dyDescent="0.4">
      <c r="T341" s="182"/>
      <c r="U341" s="182"/>
    </row>
    <row r="342" spans="20:21" ht="15.75" customHeight="1" x14ac:dyDescent="0.4">
      <c r="T342" s="182"/>
      <c r="U342" s="182"/>
    </row>
    <row r="343" spans="20:21" ht="15.75" customHeight="1" x14ac:dyDescent="0.4">
      <c r="T343" s="182"/>
      <c r="U343" s="182"/>
    </row>
    <row r="344" spans="20:21" ht="15.75" customHeight="1" x14ac:dyDescent="0.4">
      <c r="T344" s="182"/>
      <c r="U344" s="182"/>
    </row>
    <row r="345" spans="20:21" ht="15.75" customHeight="1" x14ac:dyDescent="0.4">
      <c r="T345" s="182"/>
      <c r="U345" s="182"/>
    </row>
    <row r="346" spans="20:21" ht="15.75" customHeight="1" x14ac:dyDescent="0.4">
      <c r="T346" s="182"/>
      <c r="U346" s="182"/>
    </row>
    <row r="347" spans="20:21" ht="15.75" customHeight="1" x14ac:dyDescent="0.4">
      <c r="T347" s="182"/>
      <c r="U347" s="182"/>
    </row>
    <row r="348" spans="20:21" ht="15.75" customHeight="1" x14ac:dyDescent="0.4">
      <c r="T348" s="182"/>
      <c r="U348" s="182"/>
    </row>
    <row r="349" spans="20:21" ht="15.75" customHeight="1" x14ac:dyDescent="0.4">
      <c r="T349" s="182"/>
      <c r="U349" s="182"/>
    </row>
    <row r="350" spans="20:21" ht="15.75" customHeight="1" x14ac:dyDescent="0.4">
      <c r="T350" s="182"/>
      <c r="U350" s="182"/>
    </row>
    <row r="351" spans="20:21" ht="15.75" customHeight="1" x14ac:dyDescent="0.4">
      <c r="T351" s="182"/>
      <c r="U351" s="182"/>
    </row>
    <row r="352" spans="20:21" ht="15.75" customHeight="1" x14ac:dyDescent="0.4">
      <c r="T352" s="182"/>
      <c r="U352" s="182"/>
    </row>
    <row r="353" spans="20:21" ht="15.75" customHeight="1" x14ac:dyDescent="0.4">
      <c r="T353" s="182"/>
      <c r="U353" s="182"/>
    </row>
    <row r="354" spans="20:21" ht="15.75" customHeight="1" x14ac:dyDescent="0.4">
      <c r="T354" s="182"/>
      <c r="U354" s="182"/>
    </row>
    <row r="355" spans="20:21" ht="15.75" customHeight="1" x14ac:dyDescent="0.4">
      <c r="T355" s="182"/>
      <c r="U355" s="182"/>
    </row>
    <row r="356" spans="20:21" ht="15.75" customHeight="1" x14ac:dyDescent="0.4">
      <c r="T356" s="182"/>
      <c r="U356" s="182"/>
    </row>
    <row r="357" spans="20:21" ht="15.75" customHeight="1" x14ac:dyDescent="0.4">
      <c r="T357" s="182"/>
      <c r="U357" s="182"/>
    </row>
    <row r="358" spans="20:21" ht="15.75" customHeight="1" x14ac:dyDescent="0.4">
      <c r="T358" s="182"/>
      <c r="U358" s="182"/>
    </row>
    <row r="359" spans="20:21" ht="15.75" customHeight="1" x14ac:dyDescent="0.4">
      <c r="T359" s="182"/>
      <c r="U359" s="182"/>
    </row>
    <row r="360" spans="20:21" ht="15.75" customHeight="1" x14ac:dyDescent="0.4">
      <c r="T360" s="182"/>
      <c r="U360" s="182"/>
    </row>
    <row r="361" spans="20:21" ht="15.75" customHeight="1" x14ac:dyDescent="0.4">
      <c r="T361" s="182"/>
      <c r="U361" s="182"/>
    </row>
    <row r="362" spans="20:21" ht="15.75" customHeight="1" x14ac:dyDescent="0.4">
      <c r="T362" s="182"/>
      <c r="U362" s="182"/>
    </row>
    <row r="363" spans="20:21" ht="15.75" customHeight="1" x14ac:dyDescent="0.4">
      <c r="T363" s="182"/>
      <c r="U363" s="182"/>
    </row>
    <row r="364" spans="20:21" ht="15.75" customHeight="1" x14ac:dyDescent="0.4">
      <c r="T364" s="182"/>
      <c r="U364" s="182"/>
    </row>
    <row r="365" spans="20:21" ht="15.75" customHeight="1" x14ac:dyDescent="0.4">
      <c r="T365" s="182"/>
      <c r="U365" s="182"/>
    </row>
    <row r="366" spans="20:21" ht="15.75" customHeight="1" x14ac:dyDescent="0.4">
      <c r="T366" s="182"/>
      <c r="U366" s="182"/>
    </row>
    <row r="367" spans="20:21" ht="15.75" customHeight="1" x14ac:dyDescent="0.4">
      <c r="T367" s="182"/>
      <c r="U367" s="182"/>
    </row>
    <row r="368" spans="20:21" ht="15.75" customHeight="1" x14ac:dyDescent="0.4">
      <c r="T368" s="182"/>
      <c r="U368" s="182"/>
    </row>
    <row r="369" spans="20:21" ht="15.75" customHeight="1" x14ac:dyDescent="0.4">
      <c r="T369" s="182"/>
      <c r="U369" s="182"/>
    </row>
    <row r="370" spans="20:21" ht="15.75" customHeight="1" x14ac:dyDescent="0.4">
      <c r="T370" s="182"/>
      <c r="U370" s="182"/>
    </row>
    <row r="371" spans="20:21" ht="15.75" customHeight="1" x14ac:dyDescent="0.4">
      <c r="T371" s="182"/>
      <c r="U371" s="182"/>
    </row>
    <row r="372" spans="20:21" ht="15.75" customHeight="1" x14ac:dyDescent="0.4">
      <c r="T372" s="182"/>
      <c r="U372" s="182"/>
    </row>
    <row r="373" spans="20:21" ht="15.75" customHeight="1" x14ac:dyDescent="0.4">
      <c r="T373" s="182"/>
      <c r="U373" s="182"/>
    </row>
    <row r="374" spans="20:21" ht="15.75" customHeight="1" x14ac:dyDescent="0.4">
      <c r="T374" s="182"/>
      <c r="U374" s="182"/>
    </row>
    <row r="375" spans="20:21" ht="15.75" customHeight="1" x14ac:dyDescent="0.4">
      <c r="T375" s="182"/>
      <c r="U375" s="182"/>
    </row>
    <row r="376" spans="20:21" ht="15.75" customHeight="1" x14ac:dyDescent="0.4">
      <c r="T376" s="182"/>
      <c r="U376" s="182"/>
    </row>
    <row r="377" spans="20:21" ht="15.75" customHeight="1" x14ac:dyDescent="0.4">
      <c r="T377" s="182"/>
      <c r="U377" s="182"/>
    </row>
    <row r="378" spans="20:21" ht="15.75" customHeight="1" x14ac:dyDescent="0.4">
      <c r="T378" s="182"/>
      <c r="U378" s="182"/>
    </row>
    <row r="379" spans="20:21" ht="15.75" customHeight="1" x14ac:dyDescent="0.4">
      <c r="T379" s="182"/>
      <c r="U379" s="182"/>
    </row>
    <row r="380" spans="20:21" ht="15.75" customHeight="1" x14ac:dyDescent="0.4">
      <c r="T380" s="182"/>
      <c r="U380" s="182"/>
    </row>
    <row r="381" spans="20:21" ht="15.75" customHeight="1" x14ac:dyDescent="0.4">
      <c r="T381" s="182"/>
      <c r="U381" s="182"/>
    </row>
    <row r="382" spans="20:21" ht="15.75" customHeight="1" x14ac:dyDescent="0.4">
      <c r="T382" s="182"/>
      <c r="U382" s="182"/>
    </row>
    <row r="383" spans="20:21" ht="15.75" customHeight="1" x14ac:dyDescent="0.4">
      <c r="T383" s="182"/>
      <c r="U383" s="182"/>
    </row>
    <row r="384" spans="20:21" ht="15.75" customHeight="1" x14ac:dyDescent="0.4">
      <c r="T384" s="182"/>
      <c r="U384" s="182"/>
    </row>
    <row r="385" spans="20:21" ht="15.75" customHeight="1" x14ac:dyDescent="0.4">
      <c r="T385" s="182"/>
      <c r="U385" s="182"/>
    </row>
    <row r="386" spans="20:21" ht="15.75" customHeight="1" x14ac:dyDescent="0.4">
      <c r="T386" s="182"/>
      <c r="U386" s="182"/>
    </row>
    <row r="387" spans="20:21" ht="15.75" customHeight="1" x14ac:dyDescent="0.4">
      <c r="T387" s="182"/>
      <c r="U387" s="182"/>
    </row>
    <row r="388" spans="20:21" ht="15.75" customHeight="1" x14ac:dyDescent="0.4">
      <c r="T388" s="182"/>
      <c r="U388" s="182"/>
    </row>
    <row r="389" spans="20:21" ht="15.75" customHeight="1" x14ac:dyDescent="0.4">
      <c r="T389" s="182"/>
      <c r="U389" s="182"/>
    </row>
    <row r="390" spans="20:21" ht="15.75" customHeight="1" x14ac:dyDescent="0.4">
      <c r="T390" s="182"/>
      <c r="U390" s="182"/>
    </row>
    <row r="391" spans="20:21" ht="15.75" customHeight="1" x14ac:dyDescent="0.4">
      <c r="T391" s="182"/>
      <c r="U391" s="182"/>
    </row>
    <row r="392" spans="20:21" ht="15.75" customHeight="1" x14ac:dyDescent="0.4">
      <c r="T392" s="182"/>
      <c r="U392" s="182"/>
    </row>
    <row r="393" spans="20:21" ht="15.75" customHeight="1" x14ac:dyDescent="0.4">
      <c r="T393" s="182"/>
      <c r="U393" s="182"/>
    </row>
    <row r="394" spans="20:21" ht="15.75" customHeight="1" x14ac:dyDescent="0.4">
      <c r="T394" s="182"/>
      <c r="U394" s="182"/>
    </row>
    <row r="395" spans="20:21" ht="15.75" customHeight="1" x14ac:dyDescent="0.4">
      <c r="T395" s="182"/>
      <c r="U395" s="182"/>
    </row>
    <row r="396" spans="20:21" ht="15.75" customHeight="1" x14ac:dyDescent="0.4">
      <c r="T396" s="182"/>
      <c r="U396" s="182"/>
    </row>
    <row r="397" spans="20:21" ht="15.75" customHeight="1" x14ac:dyDescent="0.4">
      <c r="T397" s="182"/>
      <c r="U397" s="182"/>
    </row>
    <row r="398" spans="20:21" ht="15.75" customHeight="1" x14ac:dyDescent="0.4">
      <c r="T398" s="182"/>
      <c r="U398" s="182"/>
    </row>
    <row r="399" spans="20:21" ht="15.75" customHeight="1" x14ac:dyDescent="0.4">
      <c r="T399" s="182"/>
      <c r="U399" s="182"/>
    </row>
    <row r="400" spans="20:21" ht="15.75" customHeight="1" x14ac:dyDescent="0.4">
      <c r="T400" s="182"/>
      <c r="U400" s="182"/>
    </row>
    <row r="401" spans="20:21" ht="15.75" customHeight="1" x14ac:dyDescent="0.4">
      <c r="T401" s="182"/>
      <c r="U401" s="182"/>
    </row>
    <row r="402" spans="20:21" ht="15.75" customHeight="1" x14ac:dyDescent="0.4">
      <c r="T402" s="182"/>
      <c r="U402" s="182"/>
    </row>
    <row r="403" spans="20:21" ht="15.75" customHeight="1" x14ac:dyDescent="0.4">
      <c r="T403" s="182"/>
      <c r="U403" s="182"/>
    </row>
    <row r="404" spans="20:21" ht="15.75" customHeight="1" x14ac:dyDescent="0.4">
      <c r="T404" s="182"/>
      <c r="U404" s="182"/>
    </row>
    <row r="405" spans="20:21" ht="15.75" customHeight="1" x14ac:dyDescent="0.4">
      <c r="T405" s="182"/>
      <c r="U405" s="182"/>
    </row>
    <row r="406" spans="20:21" ht="15.75" customHeight="1" x14ac:dyDescent="0.4">
      <c r="T406" s="182"/>
      <c r="U406" s="182"/>
    </row>
    <row r="407" spans="20:21" ht="15.75" customHeight="1" x14ac:dyDescent="0.4">
      <c r="T407" s="182"/>
      <c r="U407" s="182"/>
    </row>
    <row r="408" spans="20:21" ht="15.75" customHeight="1" x14ac:dyDescent="0.4">
      <c r="T408" s="182"/>
      <c r="U408" s="182"/>
    </row>
    <row r="409" spans="20:21" ht="15.75" customHeight="1" x14ac:dyDescent="0.4">
      <c r="T409" s="182"/>
      <c r="U409" s="182"/>
    </row>
    <row r="410" spans="20:21" ht="15.75" customHeight="1" x14ac:dyDescent="0.4">
      <c r="T410" s="182"/>
      <c r="U410" s="182"/>
    </row>
    <row r="411" spans="20:21" ht="15.75" customHeight="1" x14ac:dyDescent="0.4">
      <c r="T411" s="182"/>
      <c r="U411" s="182"/>
    </row>
    <row r="412" spans="20:21" ht="15.75" customHeight="1" x14ac:dyDescent="0.4">
      <c r="T412" s="182"/>
      <c r="U412" s="182"/>
    </row>
    <row r="413" spans="20:21" ht="15.75" customHeight="1" x14ac:dyDescent="0.4">
      <c r="T413" s="182"/>
      <c r="U413" s="182"/>
    </row>
    <row r="414" spans="20:21" ht="15.75" customHeight="1" x14ac:dyDescent="0.4">
      <c r="T414" s="182"/>
      <c r="U414" s="182"/>
    </row>
    <row r="415" spans="20:21" ht="15.75" customHeight="1" x14ac:dyDescent="0.4">
      <c r="T415" s="182"/>
      <c r="U415" s="182"/>
    </row>
    <row r="416" spans="20:21" ht="15.75" customHeight="1" x14ac:dyDescent="0.4">
      <c r="T416" s="182"/>
      <c r="U416" s="182"/>
    </row>
    <row r="417" spans="20:21" ht="15.75" customHeight="1" x14ac:dyDescent="0.4">
      <c r="T417" s="182"/>
      <c r="U417" s="182"/>
    </row>
    <row r="418" spans="20:21" ht="15.75" customHeight="1" x14ac:dyDescent="0.4">
      <c r="T418" s="182"/>
      <c r="U418" s="182"/>
    </row>
    <row r="419" spans="20:21" ht="15.75" customHeight="1" x14ac:dyDescent="0.4">
      <c r="T419" s="182"/>
      <c r="U419" s="182"/>
    </row>
    <row r="420" spans="20:21" ht="15.75" customHeight="1" x14ac:dyDescent="0.4">
      <c r="T420" s="182"/>
      <c r="U420" s="182"/>
    </row>
    <row r="421" spans="20:21" ht="15.75" customHeight="1" x14ac:dyDescent="0.4">
      <c r="T421" s="182"/>
      <c r="U421" s="182"/>
    </row>
    <row r="422" spans="20:21" ht="15.75" customHeight="1" x14ac:dyDescent="0.4">
      <c r="T422" s="182"/>
      <c r="U422" s="182"/>
    </row>
    <row r="423" spans="20:21" ht="15.75" customHeight="1" x14ac:dyDescent="0.4">
      <c r="T423" s="182"/>
      <c r="U423" s="182"/>
    </row>
    <row r="424" spans="20:21" ht="15.75" customHeight="1" x14ac:dyDescent="0.4">
      <c r="T424" s="182"/>
      <c r="U424" s="182"/>
    </row>
    <row r="425" spans="20:21" ht="15.75" customHeight="1" x14ac:dyDescent="0.4">
      <c r="T425" s="182"/>
      <c r="U425" s="182"/>
    </row>
    <row r="426" spans="20:21" ht="15.75" customHeight="1" x14ac:dyDescent="0.4">
      <c r="T426" s="182"/>
      <c r="U426" s="182"/>
    </row>
    <row r="427" spans="20:21" ht="15.75" customHeight="1" x14ac:dyDescent="0.4">
      <c r="T427" s="182"/>
      <c r="U427" s="182"/>
    </row>
    <row r="428" spans="20:21" ht="15.75" customHeight="1" x14ac:dyDescent="0.4">
      <c r="T428" s="182"/>
      <c r="U428" s="182"/>
    </row>
    <row r="429" spans="20:21" ht="15.75" customHeight="1" x14ac:dyDescent="0.4">
      <c r="T429" s="182"/>
      <c r="U429" s="182"/>
    </row>
    <row r="430" spans="20:21" ht="15.75" customHeight="1" x14ac:dyDescent="0.4">
      <c r="T430" s="182"/>
      <c r="U430" s="182"/>
    </row>
    <row r="431" spans="20:21" ht="15.75" customHeight="1" x14ac:dyDescent="0.4">
      <c r="T431" s="182"/>
      <c r="U431" s="182"/>
    </row>
    <row r="432" spans="20:21" ht="15.75" customHeight="1" x14ac:dyDescent="0.4">
      <c r="T432" s="182"/>
      <c r="U432" s="182"/>
    </row>
    <row r="433" spans="20:21" ht="15.75" customHeight="1" x14ac:dyDescent="0.4">
      <c r="T433" s="182"/>
      <c r="U433" s="182"/>
    </row>
    <row r="434" spans="20:21" ht="15.75" customHeight="1" x14ac:dyDescent="0.4">
      <c r="T434" s="182"/>
      <c r="U434" s="182"/>
    </row>
    <row r="435" spans="20:21" ht="15.75" customHeight="1" x14ac:dyDescent="0.4">
      <c r="T435" s="182"/>
      <c r="U435" s="182"/>
    </row>
    <row r="436" spans="20:21" ht="15.75" customHeight="1" x14ac:dyDescent="0.4">
      <c r="T436" s="182"/>
      <c r="U436" s="182"/>
    </row>
    <row r="437" spans="20:21" ht="15.75" customHeight="1" x14ac:dyDescent="0.4">
      <c r="T437" s="182"/>
      <c r="U437" s="182"/>
    </row>
    <row r="438" spans="20:21" ht="15.75" customHeight="1" x14ac:dyDescent="0.4">
      <c r="T438" s="182"/>
      <c r="U438" s="182"/>
    </row>
    <row r="439" spans="20:21" ht="15.75" customHeight="1" x14ac:dyDescent="0.4">
      <c r="T439" s="182"/>
      <c r="U439" s="182"/>
    </row>
    <row r="440" spans="20:21" ht="15.75" customHeight="1" x14ac:dyDescent="0.4">
      <c r="T440" s="182"/>
      <c r="U440" s="182"/>
    </row>
    <row r="441" spans="20:21" ht="15.75" customHeight="1" x14ac:dyDescent="0.4">
      <c r="T441" s="182"/>
      <c r="U441" s="182"/>
    </row>
    <row r="442" spans="20:21" ht="15.75" customHeight="1" x14ac:dyDescent="0.4">
      <c r="T442" s="182"/>
      <c r="U442" s="182"/>
    </row>
    <row r="443" spans="20:21" ht="15.75" customHeight="1" x14ac:dyDescent="0.4">
      <c r="T443" s="182"/>
      <c r="U443" s="182"/>
    </row>
    <row r="444" spans="20:21" ht="15.75" customHeight="1" x14ac:dyDescent="0.4">
      <c r="T444" s="182"/>
      <c r="U444" s="182"/>
    </row>
    <row r="445" spans="20:21" ht="15.75" customHeight="1" x14ac:dyDescent="0.4">
      <c r="T445" s="182"/>
      <c r="U445" s="182"/>
    </row>
    <row r="446" spans="20:21" ht="15.75" customHeight="1" x14ac:dyDescent="0.4">
      <c r="T446" s="182"/>
      <c r="U446" s="182"/>
    </row>
    <row r="447" spans="20:21" ht="15.75" customHeight="1" x14ac:dyDescent="0.4">
      <c r="T447" s="182"/>
      <c r="U447" s="182"/>
    </row>
    <row r="448" spans="20:21" ht="15.75" customHeight="1" x14ac:dyDescent="0.4">
      <c r="T448" s="182"/>
      <c r="U448" s="182"/>
    </row>
    <row r="449" spans="20:21" ht="15.75" customHeight="1" x14ac:dyDescent="0.4">
      <c r="T449" s="182"/>
      <c r="U449" s="182"/>
    </row>
    <row r="450" spans="20:21" ht="15.75" customHeight="1" x14ac:dyDescent="0.4">
      <c r="T450" s="182"/>
      <c r="U450" s="182"/>
    </row>
    <row r="451" spans="20:21" ht="15.75" customHeight="1" x14ac:dyDescent="0.4">
      <c r="T451" s="182"/>
      <c r="U451" s="182"/>
    </row>
    <row r="452" spans="20:21" ht="15.75" customHeight="1" x14ac:dyDescent="0.4">
      <c r="T452" s="182"/>
      <c r="U452" s="182"/>
    </row>
    <row r="453" spans="20:21" ht="15.75" customHeight="1" x14ac:dyDescent="0.4">
      <c r="T453" s="182"/>
      <c r="U453" s="182"/>
    </row>
    <row r="454" spans="20:21" ht="15.75" customHeight="1" x14ac:dyDescent="0.4">
      <c r="T454" s="182"/>
      <c r="U454" s="182"/>
    </row>
    <row r="455" spans="20:21" ht="15.75" customHeight="1" x14ac:dyDescent="0.4">
      <c r="T455" s="182"/>
      <c r="U455" s="182"/>
    </row>
    <row r="456" spans="20:21" ht="15.75" customHeight="1" x14ac:dyDescent="0.4">
      <c r="T456" s="182"/>
      <c r="U456" s="182"/>
    </row>
    <row r="457" spans="20:21" ht="15.75" customHeight="1" x14ac:dyDescent="0.4">
      <c r="T457" s="182"/>
      <c r="U457" s="182"/>
    </row>
    <row r="458" spans="20:21" ht="15.75" customHeight="1" x14ac:dyDescent="0.4">
      <c r="T458" s="182"/>
      <c r="U458" s="182"/>
    </row>
    <row r="459" spans="20:21" ht="15.75" customHeight="1" x14ac:dyDescent="0.4">
      <c r="T459" s="182"/>
      <c r="U459" s="182"/>
    </row>
    <row r="460" spans="20:21" ht="15.75" customHeight="1" x14ac:dyDescent="0.4">
      <c r="T460" s="182"/>
      <c r="U460" s="182"/>
    </row>
    <row r="461" spans="20:21" ht="15.75" customHeight="1" x14ac:dyDescent="0.4">
      <c r="T461" s="182"/>
      <c r="U461" s="182"/>
    </row>
    <row r="462" spans="20:21" ht="15.75" customHeight="1" x14ac:dyDescent="0.4">
      <c r="T462" s="182"/>
      <c r="U462" s="182"/>
    </row>
    <row r="463" spans="20:21" ht="15.75" customHeight="1" x14ac:dyDescent="0.4">
      <c r="T463" s="182"/>
      <c r="U463" s="182"/>
    </row>
    <row r="464" spans="20:21" ht="15.75" customHeight="1" x14ac:dyDescent="0.4">
      <c r="T464" s="182"/>
      <c r="U464" s="182"/>
    </row>
    <row r="465" spans="20:21" ht="15.75" customHeight="1" x14ac:dyDescent="0.4">
      <c r="T465" s="182"/>
      <c r="U465" s="182"/>
    </row>
    <row r="466" spans="20:21" ht="15.75" customHeight="1" x14ac:dyDescent="0.4">
      <c r="T466" s="182"/>
      <c r="U466" s="182"/>
    </row>
    <row r="467" spans="20:21" ht="15.75" customHeight="1" x14ac:dyDescent="0.4">
      <c r="T467" s="182"/>
      <c r="U467" s="182"/>
    </row>
    <row r="468" spans="20:21" ht="15.75" customHeight="1" x14ac:dyDescent="0.4">
      <c r="T468" s="182"/>
      <c r="U468" s="182"/>
    </row>
    <row r="469" spans="20:21" ht="15.75" customHeight="1" x14ac:dyDescent="0.4">
      <c r="T469" s="182"/>
      <c r="U469" s="182"/>
    </row>
    <row r="470" spans="20:21" ht="15.75" customHeight="1" x14ac:dyDescent="0.4">
      <c r="T470" s="182"/>
      <c r="U470" s="182"/>
    </row>
    <row r="471" spans="20:21" ht="15.75" customHeight="1" x14ac:dyDescent="0.4">
      <c r="T471" s="182"/>
      <c r="U471" s="182"/>
    </row>
    <row r="472" spans="20:21" ht="15.75" customHeight="1" x14ac:dyDescent="0.4">
      <c r="T472" s="182"/>
      <c r="U472" s="182"/>
    </row>
    <row r="473" spans="20:21" ht="15.75" customHeight="1" x14ac:dyDescent="0.4">
      <c r="T473" s="182"/>
      <c r="U473" s="182"/>
    </row>
    <row r="474" spans="20:21" ht="15.75" customHeight="1" x14ac:dyDescent="0.4">
      <c r="T474" s="182"/>
      <c r="U474" s="182"/>
    </row>
    <row r="475" spans="20:21" ht="15.75" customHeight="1" x14ac:dyDescent="0.4">
      <c r="T475" s="182"/>
      <c r="U475" s="182"/>
    </row>
    <row r="476" spans="20:21" ht="15.75" customHeight="1" x14ac:dyDescent="0.4">
      <c r="T476" s="182"/>
      <c r="U476" s="182"/>
    </row>
    <row r="477" spans="20:21" ht="15.75" customHeight="1" x14ac:dyDescent="0.4">
      <c r="T477" s="182"/>
      <c r="U477" s="182"/>
    </row>
    <row r="478" spans="20:21" ht="15.75" customHeight="1" x14ac:dyDescent="0.4">
      <c r="T478" s="182"/>
      <c r="U478" s="182"/>
    </row>
    <row r="479" spans="20:21" ht="15.75" customHeight="1" x14ac:dyDescent="0.4">
      <c r="T479" s="182"/>
      <c r="U479" s="182"/>
    </row>
    <row r="480" spans="20:21" ht="15.75" customHeight="1" x14ac:dyDescent="0.4">
      <c r="T480" s="182"/>
      <c r="U480" s="182"/>
    </row>
    <row r="481" spans="20:21" ht="15.75" customHeight="1" x14ac:dyDescent="0.4">
      <c r="T481" s="182"/>
      <c r="U481" s="182"/>
    </row>
    <row r="482" spans="20:21" ht="15.75" customHeight="1" x14ac:dyDescent="0.4">
      <c r="T482" s="182"/>
      <c r="U482" s="182"/>
    </row>
    <row r="483" spans="20:21" ht="15.75" customHeight="1" x14ac:dyDescent="0.4">
      <c r="T483" s="182"/>
      <c r="U483" s="182"/>
    </row>
    <row r="484" spans="20:21" ht="15.75" customHeight="1" x14ac:dyDescent="0.4">
      <c r="T484" s="182"/>
      <c r="U484" s="182"/>
    </row>
    <row r="485" spans="20:21" ht="15.75" customHeight="1" x14ac:dyDescent="0.4">
      <c r="T485" s="182"/>
      <c r="U485" s="182"/>
    </row>
    <row r="486" spans="20:21" ht="15.75" customHeight="1" x14ac:dyDescent="0.4">
      <c r="T486" s="182"/>
      <c r="U486" s="182"/>
    </row>
    <row r="487" spans="20:21" ht="15.75" customHeight="1" x14ac:dyDescent="0.4">
      <c r="T487" s="182"/>
      <c r="U487" s="182"/>
    </row>
    <row r="488" spans="20:21" ht="15.75" customHeight="1" x14ac:dyDescent="0.4">
      <c r="T488" s="182"/>
      <c r="U488" s="182"/>
    </row>
    <row r="489" spans="20:21" ht="15.75" customHeight="1" x14ac:dyDescent="0.4">
      <c r="T489" s="182"/>
      <c r="U489" s="182"/>
    </row>
    <row r="490" spans="20:21" ht="15.75" customHeight="1" x14ac:dyDescent="0.4">
      <c r="T490" s="182"/>
      <c r="U490" s="182"/>
    </row>
    <row r="491" spans="20:21" ht="15.75" customHeight="1" x14ac:dyDescent="0.4">
      <c r="T491" s="182"/>
      <c r="U491" s="182"/>
    </row>
    <row r="492" spans="20:21" ht="15.75" customHeight="1" x14ac:dyDescent="0.4">
      <c r="T492" s="182"/>
      <c r="U492" s="182"/>
    </row>
    <row r="493" spans="20:21" ht="15.75" customHeight="1" x14ac:dyDescent="0.4">
      <c r="T493" s="182"/>
      <c r="U493" s="182"/>
    </row>
    <row r="494" spans="20:21" ht="15.75" customHeight="1" x14ac:dyDescent="0.4">
      <c r="T494" s="182"/>
      <c r="U494" s="182"/>
    </row>
    <row r="495" spans="20:21" ht="15.75" customHeight="1" x14ac:dyDescent="0.4">
      <c r="T495" s="182"/>
      <c r="U495" s="182"/>
    </row>
    <row r="496" spans="20:21" ht="15.75" customHeight="1" x14ac:dyDescent="0.4">
      <c r="T496" s="182"/>
      <c r="U496" s="182"/>
    </row>
    <row r="497" spans="20:21" ht="15.75" customHeight="1" x14ac:dyDescent="0.4">
      <c r="T497" s="182"/>
      <c r="U497" s="182"/>
    </row>
    <row r="498" spans="20:21" ht="15.75" customHeight="1" x14ac:dyDescent="0.4">
      <c r="T498" s="182"/>
      <c r="U498" s="182"/>
    </row>
    <row r="499" spans="20:21" ht="15.75" customHeight="1" x14ac:dyDescent="0.4">
      <c r="T499" s="182"/>
      <c r="U499" s="182"/>
    </row>
    <row r="500" spans="20:21" ht="15.75" customHeight="1" x14ac:dyDescent="0.4">
      <c r="T500" s="182"/>
      <c r="U500" s="182"/>
    </row>
    <row r="501" spans="20:21" ht="15.75" customHeight="1" x14ac:dyDescent="0.4">
      <c r="T501" s="182"/>
      <c r="U501" s="182"/>
    </row>
    <row r="502" spans="20:21" ht="15.75" customHeight="1" x14ac:dyDescent="0.4">
      <c r="T502" s="182"/>
      <c r="U502" s="182"/>
    </row>
    <row r="503" spans="20:21" ht="15.75" customHeight="1" x14ac:dyDescent="0.4">
      <c r="T503" s="182"/>
      <c r="U503" s="182"/>
    </row>
    <row r="504" spans="20:21" ht="15.75" customHeight="1" x14ac:dyDescent="0.4">
      <c r="T504" s="182"/>
      <c r="U504" s="182"/>
    </row>
    <row r="505" spans="20:21" ht="15.75" customHeight="1" x14ac:dyDescent="0.4">
      <c r="T505" s="182"/>
      <c r="U505" s="182"/>
    </row>
    <row r="506" spans="20:21" ht="15.75" customHeight="1" x14ac:dyDescent="0.4">
      <c r="T506" s="182"/>
      <c r="U506" s="182"/>
    </row>
    <row r="507" spans="20:21" ht="15.75" customHeight="1" x14ac:dyDescent="0.4">
      <c r="T507" s="182"/>
      <c r="U507" s="182"/>
    </row>
    <row r="508" spans="20:21" ht="15.75" customHeight="1" x14ac:dyDescent="0.4">
      <c r="T508" s="182"/>
      <c r="U508" s="182"/>
    </row>
    <row r="509" spans="20:21" ht="15.75" customHeight="1" x14ac:dyDescent="0.4">
      <c r="T509" s="182"/>
      <c r="U509" s="182"/>
    </row>
    <row r="510" spans="20:21" ht="15.75" customHeight="1" x14ac:dyDescent="0.4">
      <c r="T510" s="182"/>
      <c r="U510" s="182"/>
    </row>
    <row r="511" spans="20:21" ht="15.75" customHeight="1" x14ac:dyDescent="0.4">
      <c r="T511" s="182"/>
      <c r="U511" s="182"/>
    </row>
    <row r="512" spans="20:21" ht="15.75" customHeight="1" x14ac:dyDescent="0.4">
      <c r="T512" s="182"/>
      <c r="U512" s="182"/>
    </row>
    <row r="513" spans="20:21" ht="15.75" customHeight="1" x14ac:dyDescent="0.4">
      <c r="T513" s="182"/>
      <c r="U513" s="182"/>
    </row>
    <row r="514" spans="20:21" ht="15.75" customHeight="1" x14ac:dyDescent="0.4">
      <c r="T514" s="182"/>
      <c r="U514" s="182"/>
    </row>
    <row r="515" spans="20:21" ht="15.75" customHeight="1" x14ac:dyDescent="0.4">
      <c r="T515" s="182"/>
      <c r="U515" s="182"/>
    </row>
    <row r="516" spans="20:21" ht="15.75" customHeight="1" x14ac:dyDescent="0.4">
      <c r="T516" s="182"/>
      <c r="U516" s="182"/>
    </row>
    <row r="517" spans="20:21" ht="15.75" customHeight="1" x14ac:dyDescent="0.4">
      <c r="T517" s="182"/>
      <c r="U517" s="182"/>
    </row>
    <row r="518" spans="20:21" ht="15.75" customHeight="1" x14ac:dyDescent="0.4">
      <c r="T518" s="182"/>
      <c r="U518" s="182"/>
    </row>
    <row r="519" spans="20:21" ht="15.75" customHeight="1" x14ac:dyDescent="0.4">
      <c r="T519" s="182"/>
      <c r="U519" s="182"/>
    </row>
    <row r="520" spans="20:21" ht="15.75" customHeight="1" x14ac:dyDescent="0.4">
      <c r="T520" s="182"/>
      <c r="U520" s="182"/>
    </row>
    <row r="521" spans="20:21" ht="15.75" customHeight="1" x14ac:dyDescent="0.4">
      <c r="T521" s="182"/>
      <c r="U521" s="182"/>
    </row>
    <row r="522" spans="20:21" ht="15.75" customHeight="1" x14ac:dyDescent="0.4">
      <c r="T522" s="182"/>
      <c r="U522" s="182"/>
    </row>
    <row r="523" spans="20:21" ht="15.75" customHeight="1" x14ac:dyDescent="0.4">
      <c r="T523" s="182"/>
      <c r="U523" s="182"/>
    </row>
    <row r="524" spans="20:21" ht="15.75" customHeight="1" x14ac:dyDescent="0.4">
      <c r="T524" s="182"/>
      <c r="U524" s="182"/>
    </row>
    <row r="525" spans="20:21" ht="15.75" customHeight="1" x14ac:dyDescent="0.4">
      <c r="T525" s="182"/>
      <c r="U525" s="182"/>
    </row>
    <row r="526" spans="20:21" ht="15.75" customHeight="1" x14ac:dyDescent="0.4">
      <c r="T526" s="182"/>
      <c r="U526" s="182"/>
    </row>
    <row r="527" spans="20:21" ht="15.75" customHeight="1" x14ac:dyDescent="0.4">
      <c r="T527" s="182"/>
      <c r="U527" s="182"/>
    </row>
    <row r="528" spans="20:21" ht="15.75" customHeight="1" x14ac:dyDescent="0.4">
      <c r="T528" s="182"/>
      <c r="U528" s="182"/>
    </row>
    <row r="529" spans="20:21" ht="15.75" customHeight="1" x14ac:dyDescent="0.4">
      <c r="T529" s="182"/>
      <c r="U529" s="182"/>
    </row>
    <row r="530" spans="20:21" ht="15.75" customHeight="1" x14ac:dyDescent="0.4">
      <c r="T530" s="182"/>
      <c r="U530" s="182"/>
    </row>
    <row r="531" spans="20:21" ht="15.75" customHeight="1" x14ac:dyDescent="0.4">
      <c r="T531" s="182"/>
      <c r="U531" s="182"/>
    </row>
    <row r="532" spans="20:21" ht="15.75" customHeight="1" x14ac:dyDescent="0.4">
      <c r="T532" s="182"/>
      <c r="U532" s="182"/>
    </row>
    <row r="533" spans="20:21" ht="15.75" customHeight="1" x14ac:dyDescent="0.4">
      <c r="T533" s="182"/>
      <c r="U533" s="182"/>
    </row>
    <row r="534" spans="20:21" ht="15.75" customHeight="1" x14ac:dyDescent="0.4">
      <c r="T534" s="182"/>
      <c r="U534" s="182"/>
    </row>
    <row r="535" spans="20:21" ht="15.75" customHeight="1" x14ac:dyDescent="0.4">
      <c r="T535" s="182"/>
      <c r="U535" s="182"/>
    </row>
    <row r="536" spans="20:21" ht="15.75" customHeight="1" x14ac:dyDescent="0.4">
      <c r="T536" s="182"/>
      <c r="U536" s="182"/>
    </row>
    <row r="537" spans="20:21" ht="15.75" customHeight="1" x14ac:dyDescent="0.4">
      <c r="T537" s="182"/>
      <c r="U537" s="182"/>
    </row>
    <row r="538" spans="20:21" ht="15.75" customHeight="1" x14ac:dyDescent="0.4">
      <c r="T538" s="182"/>
      <c r="U538" s="182"/>
    </row>
    <row r="539" spans="20:21" ht="15.75" customHeight="1" x14ac:dyDescent="0.4">
      <c r="T539" s="182"/>
      <c r="U539" s="182"/>
    </row>
    <row r="540" spans="20:21" ht="15.75" customHeight="1" x14ac:dyDescent="0.4">
      <c r="T540" s="182"/>
      <c r="U540" s="182"/>
    </row>
    <row r="541" spans="20:21" ht="15.75" customHeight="1" x14ac:dyDescent="0.4">
      <c r="T541" s="182"/>
      <c r="U541" s="182"/>
    </row>
    <row r="542" spans="20:21" ht="15.75" customHeight="1" x14ac:dyDescent="0.4">
      <c r="T542" s="182"/>
      <c r="U542" s="182"/>
    </row>
    <row r="543" spans="20:21" ht="15.75" customHeight="1" x14ac:dyDescent="0.4">
      <c r="T543" s="182"/>
      <c r="U543" s="182"/>
    </row>
    <row r="544" spans="20:21" ht="15.75" customHeight="1" x14ac:dyDescent="0.4">
      <c r="T544" s="182"/>
      <c r="U544" s="182"/>
    </row>
    <row r="545" spans="20:21" ht="15.75" customHeight="1" x14ac:dyDescent="0.4">
      <c r="T545" s="182"/>
      <c r="U545" s="182"/>
    </row>
    <row r="546" spans="20:21" ht="15.75" customHeight="1" x14ac:dyDescent="0.4">
      <c r="T546" s="182"/>
      <c r="U546" s="182"/>
    </row>
    <row r="547" spans="20:21" ht="15.75" customHeight="1" x14ac:dyDescent="0.4">
      <c r="T547" s="182"/>
      <c r="U547" s="182"/>
    </row>
    <row r="548" spans="20:21" ht="15.75" customHeight="1" x14ac:dyDescent="0.4">
      <c r="T548" s="182"/>
      <c r="U548" s="182"/>
    </row>
    <row r="549" spans="20:21" ht="15.75" customHeight="1" x14ac:dyDescent="0.4">
      <c r="T549" s="182"/>
      <c r="U549" s="182"/>
    </row>
    <row r="550" spans="20:21" ht="15.75" customHeight="1" x14ac:dyDescent="0.4">
      <c r="T550" s="182"/>
      <c r="U550" s="182"/>
    </row>
    <row r="551" spans="20:21" ht="15.75" customHeight="1" x14ac:dyDescent="0.4">
      <c r="T551" s="182"/>
      <c r="U551" s="182"/>
    </row>
    <row r="552" spans="20:21" ht="15.75" customHeight="1" x14ac:dyDescent="0.4">
      <c r="T552" s="182"/>
      <c r="U552" s="182"/>
    </row>
    <row r="553" spans="20:21" ht="15.75" customHeight="1" x14ac:dyDescent="0.4">
      <c r="T553" s="182"/>
      <c r="U553" s="182"/>
    </row>
    <row r="554" spans="20:21" ht="15.75" customHeight="1" x14ac:dyDescent="0.4">
      <c r="T554" s="182"/>
      <c r="U554" s="182"/>
    </row>
    <row r="555" spans="20:21" ht="15.75" customHeight="1" x14ac:dyDescent="0.4">
      <c r="T555" s="182"/>
      <c r="U555" s="182"/>
    </row>
    <row r="556" spans="20:21" ht="15.75" customHeight="1" x14ac:dyDescent="0.4">
      <c r="T556" s="182"/>
      <c r="U556" s="182"/>
    </row>
    <row r="557" spans="20:21" ht="15.75" customHeight="1" x14ac:dyDescent="0.4">
      <c r="T557" s="182"/>
      <c r="U557" s="182"/>
    </row>
    <row r="558" spans="20:21" ht="15.75" customHeight="1" x14ac:dyDescent="0.4">
      <c r="T558" s="182"/>
      <c r="U558" s="182"/>
    </row>
    <row r="559" spans="20:21" ht="15.75" customHeight="1" x14ac:dyDescent="0.4">
      <c r="T559" s="182"/>
      <c r="U559" s="182"/>
    </row>
    <row r="560" spans="20:21" ht="15.75" customHeight="1" x14ac:dyDescent="0.4">
      <c r="T560" s="182"/>
      <c r="U560" s="182"/>
    </row>
    <row r="561" spans="20:21" ht="15.75" customHeight="1" x14ac:dyDescent="0.4">
      <c r="T561" s="182"/>
      <c r="U561" s="182"/>
    </row>
    <row r="562" spans="20:21" ht="15.75" customHeight="1" x14ac:dyDescent="0.4">
      <c r="T562" s="182"/>
      <c r="U562" s="182"/>
    </row>
    <row r="563" spans="20:21" ht="15.75" customHeight="1" x14ac:dyDescent="0.4">
      <c r="T563" s="182"/>
      <c r="U563" s="182"/>
    </row>
    <row r="564" spans="20:21" ht="15.75" customHeight="1" x14ac:dyDescent="0.4">
      <c r="T564" s="182"/>
      <c r="U564" s="182"/>
    </row>
    <row r="565" spans="20:21" ht="15.75" customHeight="1" x14ac:dyDescent="0.4">
      <c r="T565" s="182"/>
      <c r="U565" s="182"/>
    </row>
    <row r="566" spans="20:21" ht="15.75" customHeight="1" x14ac:dyDescent="0.4">
      <c r="T566" s="182"/>
      <c r="U566" s="182"/>
    </row>
    <row r="567" spans="20:21" ht="15.75" customHeight="1" x14ac:dyDescent="0.4">
      <c r="T567" s="182"/>
      <c r="U567" s="182"/>
    </row>
    <row r="568" spans="20:21" ht="15.75" customHeight="1" x14ac:dyDescent="0.4">
      <c r="T568" s="182"/>
      <c r="U568" s="182"/>
    </row>
    <row r="569" spans="20:21" ht="15.75" customHeight="1" x14ac:dyDescent="0.4">
      <c r="T569" s="182"/>
      <c r="U569" s="182"/>
    </row>
    <row r="570" spans="20:21" ht="15.75" customHeight="1" x14ac:dyDescent="0.4">
      <c r="T570" s="182"/>
      <c r="U570" s="182"/>
    </row>
    <row r="571" spans="20:21" ht="15.75" customHeight="1" x14ac:dyDescent="0.4">
      <c r="T571" s="182"/>
      <c r="U571" s="182"/>
    </row>
    <row r="572" spans="20:21" ht="15.75" customHeight="1" x14ac:dyDescent="0.4">
      <c r="T572" s="182"/>
      <c r="U572" s="182"/>
    </row>
    <row r="573" spans="20:21" ht="15.75" customHeight="1" x14ac:dyDescent="0.4">
      <c r="T573" s="182"/>
      <c r="U573" s="182"/>
    </row>
    <row r="574" spans="20:21" ht="15.75" customHeight="1" x14ac:dyDescent="0.4">
      <c r="T574" s="182"/>
      <c r="U574" s="182"/>
    </row>
    <row r="575" spans="20:21" ht="15.75" customHeight="1" x14ac:dyDescent="0.4">
      <c r="T575" s="182"/>
      <c r="U575" s="182"/>
    </row>
    <row r="576" spans="20:21" ht="15.75" customHeight="1" x14ac:dyDescent="0.4">
      <c r="T576" s="182"/>
      <c r="U576" s="182"/>
    </row>
    <row r="577" spans="20:21" ht="15.75" customHeight="1" x14ac:dyDescent="0.4">
      <c r="T577" s="182"/>
      <c r="U577" s="182"/>
    </row>
    <row r="578" spans="20:21" ht="15.75" customHeight="1" x14ac:dyDescent="0.4">
      <c r="T578" s="182"/>
      <c r="U578" s="182"/>
    </row>
    <row r="579" spans="20:21" ht="15.75" customHeight="1" x14ac:dyDescent="0.4">
      <c r="T579" s="182"/>
      <c r="U579" s="182"/>
    </row>
    <row r="580" spans="20:21" ht="15.75" customHeight="1" x14ac:dyDescent="0.4">
      <c r="T580" s="182"/>
      <c r="U580" s="182"/>
    </row>
    <row r="581" spans="20:21" ht="15.75" customHeight="1" x14ac:dyDescent="0.4">
      <c r="T581" s="182"/>
      <c r="U581" s="182"/>
    </row>
    <row r="582" spans="20:21" ht="15.75" customHeight="1" x14ac:dyDescent="0.4">
      <c r="T582" s="182"/>
      <c r="U582" s="182"/>
    </row>
    <row r="583" spans="20:21" ht="15.75" customHeight="1" x14ac:dyDescent="0.4">
      <c r="T583" s="182"/>
      <c r="U583" s="182"/>
    </row>
    <row r="584" spans="20:21" ht="15.75" customHeight="1" x14ac:dyDescent="0.4">
      <c r="T584" s="182"/>
      <c r="U584" s="182"/>
    </row>
    <row r="585" spans="20:21" ht="15.75" customHeight="1" x14ac:dyDescent="0.4">
      <c r="T585" s="182"/>
      <c r="U585" s="182"/>
    </row>
    <row r="586" spans="20:21" ht="15.75" customHeight="1" x14ac:dyDescent="0.4">
      <c r="T586" s="182"/>
      <c r="U586" s="182"/>
    </row>
    <row r="587" spans="20:21" ht="15.75" customHeight="1" x14ac:dyDescent="0.4">
      <c r="T587" s="182"/>
      <c r="U587" s="182"/>
    </row>
    <row r="588" spans="20:21" ht="15.75" customHeight="1" x14ac:dyDescent="0.4">
      <c r="T588" s="182"/>
      <c r="U588" s="182"/>
    </row>
    <row r="589" spans="20:21" ht="15.75" customHeight="1" x14ac:dyDescent="0.4">
      <c r="T589" s="182"/>
      <c r="U589" s="182"/>
    </row>
    <row r="590" spans="20:21" ht="15.75" customHeight="1" x14ac:dyDescent="0.4">
      <c r="T590" s="182"/>
      <c r="U590" s="182"/>
    </row>
    <row r="591" spans="20:21" ht="15.75" customHeight="1" x14ac:dyDescent="0.4">
      <c r="T591" s="182"/>
      <c r="U591" s="182"/>
    </row>
    <row r="592" spans="20:21" ht="15.75" customHeight="1" x14ac:dyDescent="0.4">
      <c r="T592" s="182"/>
      <c r="U592" s="182"/>
    </row>
    <row r="593" spans="20:21" ht="15.75" customHeight="1" x14ac:dyDescent="0.4">
      <c r="T593" s="182"/>
      <c r="U593" s="182"/>
    </row>
    <row r="594" spans="20:21" ht="15.75" customHeight="1" x14ac:dyDescent="0.4">
      <c r="T594" s="182"/>
      <c r="U594" s="182"/>
    </row>
    <row r="595" spans="20:21" ht="15.75" customHeight="1" x14ac:dyDescent="0.4">
      <c r="T595" s="182"/>
      <c r="U595" s="182"/>
    </row>
    <row r="596" spans="20:21" ht="15.75" customHeight="1" x14ac:dyDescent="0.4">
      <c r="T596" s="182"/>
      <c r="U596" s="182"/>
    </row>
    <row r="597" spans="20:21" ht="15.75" customHeight="1" x14ac:dyDescent="0.4">
      <c r="T597" s="182"/>
      <c r="U597" s="182"/>
    </row>
    <row r="598" spans="20:21" ht="15.75" customHeight="1" x14ac:dyDescent="0.4">
      <c r="T598" s="182"/>
      <c r="U598" s="182"/>
    </row>
    <row r="599" spans="20:21" ht="15.75" customHeight="1" x14ac:dyDescent="0.4">
      <c r="T599" s="182"/>
      <c r="U599" s="182"/>
    </row>
    <row r="600" spans="20:21" ht="15.75" customHeight="1" x14ac:dyDescent="0.4">
      <c r="T600" s="182"/>
      <c r="U600" s="182"/>
    </row>
    <row r="601" spans="20:21" ht="15.75" customHeight="1" x14ac:dyDescent="0.4">
      <c r="T601" s="182"/>
      <c r="U601" s="182"/>
    </row>
    <row r="602" spans="20:21" ht="15.75" customHeight="1" x14ac:dyDescent="0.4">
      <c r="T602" s="182"/>
      <c r="U602" s="182"/>
    </row>
    <row r="603" spans="20:21" ht="15.75" customHeight="1" x14ac:dyDescent="0.4">
      <c r="T603" s="182"/>
      <c r="U603" s="182"/>
    </row>
    <row r="604" spans="20:21" ht="15.75" customHeight="1" x14ac:dyDescent="0.4">
      <c r="T604" s="182"/>
      <c r="U604" s="182"/>
    </row>
    <row r="605" spans="20:21" ht="15.75" customHeight="1" x14ac:dyDescent="0.4">
      <c r="T605" s="182"/>
      <c r="U605" s="182"/>
    </row>
    <row r="606" spans="20:21" ht="15.75" customHeight="1" x14ac:dyDescent="0.4">
      <c r="T606" s="182"/>
      <c r="U606" s="182"/>
    </row>
    <row r="607" spans="20:21" ht="15.75" customHeight="1" x14ac:dyDescent="0.4">
      <c r="T607" s="182"/>
      <c r="U607" s="182"/>
    </row>
    <row r="608" spans="20:21" ht="15.75" customHeight="1" x14ac:dyDescent="0.4">
      <c r="T608" s="182"/>
      <c r="U608" s="182"/>
    </row>
    <row r="609" spans="20:21" ht="15.75" customHeight="1" x14ac:dyDescent="0.4">
      <c r="T609" s="182"/>
      <c r="U609" s="182"/>
    </row>
    <row r="610" spans="20:21" ht="15.75" customHeight="1" x14ac:dyDescent="0.4">
      <c r="T610" s="182"/>
      <c r="U610" s="182"/>
    </row>
    <row r="611" spans="20:21" ht="15.75" customHeight="1" x14ac:dyDescent="0.4">
      <c r="T611" s="182"/>
      <c r="U611" s="182"/>
    </row>
    <row r="612" spans="20:21" ht="15.75" customHeight="1" x14ac:dyDescent="0.4">
      <c r="T612" s="182"/>
      <c r="U612" s="182"/>
    </row>
    <row r="613" spans="20:21" ht="15.75" customHeight="1" x14ac:dyDescent="0.4">
      <c r="T613" s="182"/>
      <c r="U613" s="182"/>
    </row>
    <row r="614" spans="20:21" ht="15.75" customHeight="1" x14ac:dyDescent="0.4">
      <c r="T614" s="182"/>
      <c r="U614" s="182"/>
    </row>
    <row r="615" spans="20:21" ht="15.75" customHeight="1" x14ac:dyDescent="0.4">
      <c r="T615" s="182"/>
      <c r="U615" s="182"/>
    </row>
    <row r="616" spans="20:21" ht="15.75" customHeight="1" x14ac:dyDescent="0.4">
      <c r="T616" s="182"/>
      <c r="U616" s="182"/>
    </row>
    <row r="617" spans="20:21" ht="15.75" customHeight="1" x14ac:dyDescent="0.4">
      <c r="T617" s="182"/>
      <c r="U617" s="182"/>
    </row>
    <row r="618" spans="20:21" ht="15.75" customHeight="1" x14ac:dyDescent="0.4">
      <c r="T618" s="182"/>
      <c r="U618" s="182"/>
    </row>
    <row r="619" spans="20:21" ht="15.75" customHeight="1" x14ac:dyDescent="0.4">
      <c r="T619" s="182"/>
      <c r="U619" s="182"/>
    </row>
    <row r="620" spans="20:21" ht="15.75" customHeight="1" x14ac:dyDescent="0.4">
      <c r="T620" s="182"/>
      <c r="U620" s="182"/>
    </row>
    <row r="621" spans="20:21" ht="15.75" customHeight="1" x14ac:dyDescent="0.4">
      <c r="T621" s="182"/>
      <c r="U621" s="182"/>
    </row>
    <row r="622" spans="20:21" ht="15.75" customHeight="1" x14ac:dyDescent="0.4">
      <c r="T622" s="182"/>
      <c r="U622" s="182"/>
    </row>
    <row r="623" spans="20:21" ht="15.75" customHeight="1" x14ac:dyDescent="0.4">
      <c r="T623" s="182"/>
      <c r="U623" s="182"/>
    </row>
    <row r="624" spans="20:21" ht="15.75" customHeight="1" x14ac:dyDescent="0.4">
      <c r="T624" s="182"/>
      <c r="U624" s="182"/>
    </row>
    <row r="625" spans="20:21" ht="15.75" customHeight="1" x14ac:dyDescent="0.4">
      <c r="T625" s="182"/>
      <c r="U625" s="182"/>
    </row>
    <row r="626" spans="20:21" ht="15.75" customHeight="1" x14ac:dyDescent="0.4">
      <c r="T626" s="182"/>
      <c r="U626" s="182"/>
    </row>
    <row r="627" spans="20:21" ht="15.75" customHeight="1" x14ac:dyDescent="0.4">
      <c r="T627" s="182"/>
      <c r="U627" s="182"/>
    </row>
    <row r="628" spans="20:21" ht="15.75" customHeight="1" x14ac:dyDescent="0.4">
      <c r="T628" s="182"/>
      <c r="U628" s="182"/>
    </row>
    <row r="629" spans="20:21" ht="15.75" customHeight="1" x14ac:dyDescent="0.4">
      <c r="T629" s="182"/>
      <c r="U629" s="182"/>
    </row>
    <row r="630" spans="20:21" ht="15.75" customHeight="1" x14ac:dyDescent="0.4">
      <c r="T630" s="182"/>
      <c r="U630" s="182"/>
    </row>
    <row r="631" spans="20:21" ht="15.75" customHeight="1" x14ac:dyDescent="0.4">
      <c r="T631" s="182"/>
      <c r="U631" s="182"/>
    </row>
    <row r="632" spans="20:21" ht="15.75" customHeight="1" x14ac:dyDescent="0.4">
      <c r="T632" s="182"/>
      <c r="U632" s="182"/>
    </row>
    <row r="633" spans="20:21" ht="15.75" customHeight="1" x14ac:dyDescent="0.4">
      <c r="T633" s="182"/>
      <c r="U633" s="182"/>
    </row>
    <row r="634" spans="20:21" ht="15.75" customHeight="1" x14ac:dyDescent="0.4">
      <c r="T634" s="182"/>
      <c r="U634" s="182"/>
    </row>
    <row r="635" spans="20:21" ht="15.75" customHeight="1" x14ac:dyDescent="0.4">
      <c r="T635" s="182"/>
      <c r="U635" s="182"/>
    </row>
    <row r="636" spans="20:21" ht="15.75" customHeight="1" x14ac:dyDescent="0.4">
      <c r="T636" s="182"/>
      <c r="U636" s="182"/>
    </row>
    <row r="637" spans="20:21" ht="15.75" customHeight="1" x14ac:dyDescent="0.4">
      <c r="T637" s="182"/>
      <c r="U637" s="182"/>
    </row>
    <row r="638" spans="20:21" ht="15.75" customHeight="1" x14ac:dyDescent="0.4">
      <c r="T638" s="182"/>
      <c r="U638" s="182"/>
    </row>
    <row r="639" spans="20:21" ht="15.75" customHeight="1" x14ac:dyDescent="0.4">
      <c r="T639" s="182"/>
      <c r="U639" s="182"/>
    </row>
    <row r="640" spans="20:21" ht="15.75" customHeight="1" x14ac:dyDescent="0.4">
      <c r="T640" s="182"/>
      <c r="U640" s="182"/>
    </row>
    <row r="641" spans="20:21" ht="15.75" customHeight="1" x14ac:dyDescent="0.4">
      <c r="T641" s="182"/>
      <c r="U641" s="182"/>
    </row>
    <row r="642" spans="20:21" ht="15.75" customHeight="1" x14ac:dyDescent="0.4">
      <c r="T642" s="182"/>
      <c r="U642" s="182"/>
    </row>
    <row r="643" spans="20:21" ht="15.75" customHeight="1" x14ac:dyDescent="0.4">
      <c r="T643" s="182"/>
      <c r="U643" s="182"/>
    </row>
    <row r="644" spans="20:21" ht="15.75" customHeight="1" x14ac:dyDescent="0.4">
      <c r="T644" s="182"/>
      <c r="U644" s="182"/>
    </row>
    <row r="645" spans="20:21" ht="15.75" customHeight="1" x14ac:dyDescent="0.4">
      <c r="T645" s="182"/>
      <c r="U645" s="182"/>
    </row>
    <row r="646" spans="20:21" ht="15.75" customHeight="1" x14ac:dyDescent="0.4">
      <c r="T646" s="182"/>
      <c r="U646" s="182"/>
    </row>
    <row r="647" spans="20:21" ht="15.75" customHeight="1" x14ac:dyDescent="0.4">
      <c r="T647" s="182"/>
      <c r="U647" s="182"/>
    </row>
    <row r="648" spans="20:21" ht="15.75" customHeight="1" x14ac:dyDescent="0.4">
      <c r="T648" s="182"/>
      <c r="U648" s="182"/>
    </row>
    <row r="649" spans="20:21" ht="15.75" customHeight="1" x14ac:dyDescent="0.4">
      <c r="T649" s="182"/>
      <c r="U649" s="182"/>
    </row>
    <row r="650" spans="20:21" ht="15.75" customHeight="1" x14ac:dyDescent="0.4">
      <c r="T650" s="182"/>
      <c r="U650" s="182"/>
    </row>
    <row r="651" spans="20:21" ht="15.75" customHeight="1" x14ac:dyDescent="0.4">
      <c r="T651" s="182"/>
      <c r="U651" s="182"/>
    </row>
    <row r="652" spans="20:21" ht="15.75" customHeight="1" x14ac:dyDescent="0.4">
      <c r="T652" s="182"/>
      <c r="U652" s="182"/>
    </row>
    <row r="653" spans="20:21" ht="15.75" customHeight="1" x14ac:dyDescent="0.4">
      <c r="T653" s="182"/>
      <c r="U653" s="182"/>
    </row>
    <row r="654" spans="20:21" ht="15.75" customHeight="1" x14ac:dyDescent="0.4">
      <c r="T654" s="182"/>
      <c r="U654" s="182"/>
    </row>
    <row r="655" spans="20:21" ht="15.75" customHeight="1" x14ac:dyDescent="0.4">
      <c r="T655" s="182"/>
      <c r="U655" s="182"/>
    </row>
    <row r="656" spans="20:21" ht="15.75" customHeight="1" x14ac:dyDescent="0.4">
      <c r="T656" s="182"/>
      <c r="U656" s="182"/>
    </row>
    <row r="657" spans="20:21" ht="15.75" customHeight="1" x14ac:dyDescent="0.4">
      <c r="T657" s="182"/>
      <c r="U657" s="182"/>
    </row>
    <row r="658" spans="20:21" ht="15.75" customHeight="1" x14ac:dyDescent="0.4">
      <c r="T658" s="182"/>
      <c r="U658" s="182"/>
    </row>
    <row r="659" spans="20:21" ht="15.75" customHeight="1" x14ac:dyDescent="0.4">
      <c r="T659" s="182"/>
      <c r="U659" s="182"/>
    </row>
    <row r="660" spans="20:21" ht="15.75" customHeight="1" x14ac:dyDescent="0.4">
      <c r="T660" s="182"/>
      <c r="U660" s="182"/>
    </row>
    <row r="661" spans="20:21" ht="15.75" customHeight="1" x14ac:dyDescent="0.4">
      <c r="T661" s="182"/>
      <c r="U661" s="182"/>
    </row>
    <row r="662" spans="20:21" ht="15.75" customHeight="1" x14ac:dyDescent="0.4">
      <c r="T662" s="182"/>
      <c r="U662" s="182"/>
    </row>
    <row r="663" spans="20:21" ht="15.75" customHeight="1" x14ac:dyDescent="0.4">
      <c r="T663" s="182"/>
      <c r="U663" s="182"/>
    </row>
    <row r="664" spans="20:21" ht="15.75" customHeight="1" x14ac:dyDescent="0.4">
      <c r="T664" s="182"/>
      <c r="U664" s="182"/>
    </row>
    <row r="665" spans="20:21" ht="15.75" customHeight="1" x14ac:dyDescent="0.4">
      <c r="T665" s="182"/>
      <c r="U665" s="182"/>
    </row>
    <row r="666" spans="20:21" ht="15.75" customHeight="1" x14ac:dyDescent="0.4">
      <c r="T666" s="182"/>
      <c r="U666" s="182"/>
    </row>
    <row r="667" spans="20:21" ht="15.75" customHeight="1" x14ac:dyDescent="0.4">
      <c r="T667" s="182"/>
      <c r="U667" s="182"/>
    </row>
    <row r="668" spans="20:21" ht="15.75" customHeight="1" x14ac:dyDescent="0.4">
      <c r="T668" s="182"/>
      <c r="U668" s="182"/>
    </row>
    <row r="669" spans="20:21" ht="15.75" customHeight="1" x14ac:dyDescent="0.4">
      <c r="T669" s="182"/>
      <c r="U669" s="182"/>
    </row>
    <row r="670" spans="20:21" ht="15.75" customHeight="1" x14ac:dyDescent="0.4">
      <c r="T670" s="182"/>
      <c r="U670" s="182"/>
    </row>
    <row r="671" spans="20:21" ht="15.75" customHeight="1" x14ac:dyDescent="0.4">
      <c r="T671" s="182"/>
      <c r="U671" s="182"/>
    </row>
    <row r="672" spans="20:21" ht="15.75" customHeight="1" x14ac:dyDescent="0.4">
      <c r="T672" s="182"/>
      <c r="U672" s="182"/>
    </row>
    <row r="673" spans="20:21" ht="15.75" customHeight="1" x14ac:dyDescent="0.4">
      <c r="T673" s="182"/>
      <c r="U673" s="182"/>
    </row>
    <row r="674" spans="20:21" ht="15.75" customHeight="1" x14ac:dyDescent="0.4">
      <c r="T674" s="182"/>
      <c r="U674" s="182"/>
    </row>
    <row r="675" spans="20:21" ht="15.75" customHeight="1" x14ac:dyDescent="0.4">
      <c r="T675" s="182"/>
      <c r="U675" s="182"/>
    </row>
    <row r="676" spans="20:21" ht="15.75" customHeight="1" x14ac:dyDescent="0.4">
      <c r="T676" s="182"/>
      <c r="U676" s="182"/>
    </row>
    <row r="677" spans="20:21" ht="15.75" customHeight="1" x14ac:dyDescent="0.4">
      <c r="T677" s="182"/>
      <c r="U677" s="182"/>
    </row>
    <row r="678" spans="20:21" ht="15.75" customHeight="1" x14ac:dyDescent="0.4">
      <c r="T678" s="182"/>
      <c r="U678" s="182"/>
    </row>
    <row r="679" spans="20:21" ht="15.75" customHeight="1" x14ac:dyDescent="0.4">
      <c r="T679" s="182"/>
      <c r="U679" s="182"/>
    </row>
    <row r="680" spans="20:21" ht="15.75" customHeight="1" x14ac:dyDescent="0.4">
      <c r="T680" s="182"/>
      <c r="U680" s="182"/>
    </row>
    <row r="681" spans="20:21" ht="15.75" customHeight="1" x14ac:dyDescent="0.4">
      <c r="T681" s="182"/>
      <c r="U681" s="182"/>
    </row>
    <row r="682" spans="20:21" ht="15.75" customHeight="1" x14ac:dyDescent="0.4">
      <c r="T682" s="182"/>
      <c r="U682" s="182"/>
    </row>
    <row r="683" spans="20:21" ht="15.75" customHeight="1" x14ac:dyDescent="0.4">
      <c r="T683" s="182"/>
      <c r="U683" s="182"/>
    </row>
    <row r="684" spans="20:21" ht="15.75" customHeight="1" x14ac:dyDescent="0.4">
      <c r="T684" s="182"/>
      <c r="U684" s="182"/>
    </row>
    <row r="685" spans="20:21" ht="15.75" customHeight="1" x14ac:dyDescent="0.4">
      <c r="T685" s="182"/>
      <c r="U685" s="182"/>
    </row>
    <row r="686" spans="20:21" ht="15.75" customHeight="1" x14ac:dyDescent="0.4">
      <c r="T686" s="182"/>
      <c r="U686" s="182"/>
    </row>
    <row r="687" spans="20:21" ht="15.75" customHeight="1" x14ac:dyDescent="0.4">
      <c r="T687" s="182"/>
      <c r="U687" s="182"/>
    </row>
    <row r="688" spans="20:21" ht="15.75" customHeight="1" x14ac:dyDescent="0.4">
      <c r="T688" s="182"/>
      <c r="U688" s="182"/>
    </row>
    <row r="689" spans="20:21" ht="15.75" customHeight="1" x14ac:dyDescent="0.4">
      <c r="T689" s="182"/>
      <c r="U689" s="182"/>
    </row>
    <row r="690" spans="20:21" ht="15.75" customHeight="1" x14ac:dyDescent="0.4">
      <c r="T690" s="182"/>
      <c r="U690" s="182"/>
    </row>
    <row r="691" spans="20:21" ht="15.75" customHeight="1" x14ac:dyDescent="0.4">
      <c r="T691" s="182"/>
      <c r="U691" s="182"/>
    </row>
    <row r="692" spans="20:21" ht="15.75" customHeight="1" x14ac:dyDescent="0.4">
      <c r="T692" s="182"/>
      <c r="U692" s="182"/>
    </row>
    <row r="693" spans="20:21" ht="15.75" customHeight="1" x14ac:dyDescent="0.4">
      <c r="T693" s="182"/>
      <c r="U693" s="182"/>
    </row>
    <row r="694" spans="20:21" ht="15.75" customHeight="1" x14ac:dyDescent="0.4">
      <c r="T694" s="182"/>
      <c r="U694" s="182"/>
    </row>
    <row r="695" spans="20:21" ht="15.75" customHeight="1" x14ac:dyDescent="0.4">
      <c r="T695" s="182"/>
      <c r="U695" s="182"/>
    </row>
    <row r="696" spans="20:21" ht="15.75" customHeight="1" x14ac:dyDescent="0.4">
      <c r="T696" s="182"/>
      <c r="U696" s="182"/>
    </row>
    <row r="697" spans="20:21" ht="15.75" customHeight="1" x14ac:dyDescent="0.4">
      <c r="T697" s="182"/>
      <c r="U697" s="182"/>
    </row>
    <row r="698" spans="20:21" ht="15.75" customHeight="1" x14ac:dyDescent="0.4">
      <c r="T698" s="182"/>
      <c r="U698" s="182"/>
    </row>
    <row r="699" spans="20:21" ht="15.75" customHeight="1" x14ac:dyDescent="0.4">
      <c r="T699" s="182"/>
      <c r="U699" s="182"/>
    </row>
    <row r="700" spans="20:21" ht="15.75" customHeight="1" x14ac:dyDescent="0.4">
      <c r="T700" s="182"/>
      <c r="U700" s="182"/>
    </row>
    <row r="701" spans="20:21" ht="15.75" customHeight="1" x14ac:dyDescent="0.4">
      <c r="T701" s="182"/>
      <c r="U701" s="182"/>
    </row>
    <row r="702" spans="20:21" ht="15.75" customHeight="1" x14ac:dyDescent="0.4">
      <c r="T702" s="182"/>
      <c r="U702" s="182"/>
    </row>
    <row r="703" spans="20:21" ht="15.75" customHeight="1" x14ac:dyDescent="0.4">
      <c r="T703" s="182"/>
      <c r="U703" s="182"/>
    </row>
    <row r="704" spans="20:21" ht="15.75" customHeight="1" x14ac:dyDescent="0.4">
      <c r="T704" s="182"/>
      <c r="U704" s="182"/>
    </row>
    <row r="705" spans="20:21" ht="15.75" customHeight="1" x14ac:dyDescent="0.4">
      <c r="T705" s="182"/>
      <c r="U705" s="182"/>
    </row>
    <row r="706" spans="20:21" ht="15.75" customHeight="1" x14ac:dyDescent="0.4">
      <c r="T706" s="182"/>
      <c r="U706" s="182"/>
    </row>
    <row r="707" spans="20:21" ht="15.75" customHeight="1" x14ac:dyDescent="0.4">
      <c r="T707" s="182"/>
      <c r="U707" s="182"/>
    </row>
    <row r="708" spans="20:21" ht="15.75" customHeight="1" x14ac:dyDescent="0.4">
      <c r="T708" s="182"/>
      <c r="U708" s="182"/>
    </row>
    <row r="709" spans="20:21" ht="15.75" customHeight="1" x14ac:dyDescent="0.4">
      <c r="T709" s="182"/>
      <c r="U709" s="182"/>
    </row>
    <row r="710" spans="20:21" ht="15.75" customHeight="1" x14ac:dyDescent="0.4">
      <c r="T710" s="182"/>
      <c r="U710" s="182"/>
    </row>
    <row r="711" spans="20:21" ht="15.75" customHeight="1" x14ac:dyDescent="0.4">
      <c r="T711" s="182"/>
      <c r="U711" s="182"/>
    </row>
    <row r="712" spans="20:21" ht="15.75" customHeight="1" x14ac:dyDescent="0.4">
      <c r="T712" s="182"/>
      <c r="U712" s="182"/>
    </row>
    <row r="713" spans="20:21" ht="15.75" customHeight="1" x14ac:dyDescent="0.4">
      <c r="T713" s="182"/>
      <c r="U713" s="182"/>
    </row>
    <row r="714" spans="20:21" ht="15.75" customHeight="1" x14ac:dyDescent="0.4">
      <c r="T714" s="182"/>
      <c r="U714" s="182"/>
    </row>
    <row r="715" spans="20:21" ht="15.75" customHeight="1" x14ac:dyDescent="0.4">
      <c r="T715" s="182"/>
      <c r="U715" s="182"/>
    </row>
    <row r="716" spans="20:21" ht="15.75" customHeight="1" x14ac:dyDescent="0.4">
      <c r="T716" s="182"/>
      <c r="U716" s="182"/>
    </row>
    <row r="717" spans="20:21" ht="15.75" customHeight="1" x14ac:dyDescent="0.4">
      <c r="T717" s="182"/>
      <c r="U717" s="182"/>
    </row>
    <row r="718" spans="20:21" ht="15.75" customHeight="1" x14ac:dyDescent="0.4">
      <c r="T718" s="182"/>
      <c r="U718" s="182"/>
    </row>
    <row r="719" spans="20:21" ht="15.75" customHeight="1" x14ac:dyDescent="0.4">
      <c r="T719" s="182"/>
      <c r="U719" s="182"/>
    </row>
    <row r="720" spans="20:21" ht="15.75" customHeight="1" x14ac:dyDescent="0.4">
      <c r="T720" s="182"/>
      <c r="U720" s="182"/>
    </row>
    <row r="721" spans="20:21" ht="15.75" customHeight="1" x14ac:dyDescent="0.4">
      <c r="T721" s="182"/>
      <c r="U721" s="182"/>
    </row>
    <row r="722" spans="20:21" ht="15.75" customHeight="1" x14ac:dyDescent="0.4">
      <c r="T722" s="182"/>
      <c r="U722" s="182"/>
    </row>
    <row r="723" spans="20:21" ht="15.75" customHeight="1" x14ac:dyDescent="0.4">
      <c r="T723" s="182"/>
      <c r="U723" s="182"/>
    </row>
    <row r="724" spans="20:21" ht="15.75" customHeight="1" x14ac:dyDescent="0.4">
      <c r="T724" s="182"/>
      <c r="U724" s="182"/>
    </row>
    <row r="725" spans="20:21" ht="15.75" customHeight="1" x14ac:dyDescent="0.4">
      <c r="T725" s="182"/>
      <c r="U725" s="182"/>
    </row>
    <row r="726" spans="20:21" ht="15.75" customHeight="1" x14ac:dyDescent="0.4">
      <c r="T726" s="182"/>
      <c r="U726" s="182"/>
    </row>
    <row r="727" spans="20:21" ht="15.75" customHeight="1" x14ac:dyDescent="0.4">
      <c r="T727" s="182"/>
      <c r="U727" s="182"/>
    </row>
    <row r="728" spans="20:21" ht="15.75" customHeight="1" x14ac:dyDescent="0.4">
      <c r="T728" s="182"/>
      <c r="U728" s="182"/>
    </row>
    <row r="729" spans="20:21" ht="15.75" customHeight="1" x14ac:dyDescent="0.4">
      <c r="T729" s="182"/>
      <c r="U729" s="182"/>
    </row>
    <row r="730" spans="20:21" ht="15.75" customHeight="1" x14ac:dyDescent="0.4">
      <c r="T730" s="182"/>
      <c r="U730" s="182"/>
    </row>
    <row r="731" spans="20:21" ht="15.75" customHeight="1" x14ac:dyDescent="0.4">
      <c r="T731" s="182"/>
      <c r="U731" s="182"/>
    </row>
    <row r="732" spans="20:21" ht="15.75" customHeight="1" x14ac:dyDescent="0.4">
      <c r="T732" s="182"/>
      <c r="U732" s="182"/>
    </row>
    <row r="733" spans="20:21" ht="15.75" customHeight="1" x14ac:dyDescent="0.4">
      <c r="T733" s="182"/>
      <c r="U733" s="182"/>
    </row>
    <row r="734" spans="20:21" ht="15.75" customHeight="1" x14ac:dyDescent="0.4">
      <c r="T734" s="182"/>
      <c r="U734" s="182"/>
    </row>
    <row r="735" spans="20:21" ht="15.75" customHeight="1" x14ac:dyDescent="0.4">
      <c r="T735" s="182"/>
      <c r="U735" s="182"/>
    </row>
    <row r="736" spans="20:21" ht="15.75" customHeight="1" x14ac:dyDescent="0.4">
      <c r="T736" s="182"/>
      <c r="U736" s="182"/>
    </row>
    <row r="737" spans="20:21" ht="15.75" customHeight="1" x14ac:dyDescent="0.4">
      <c r="T737" s="182"/>
      <c r="U737" s="182"/>
    </row>
    <row r="738" spans="20:21" ht="15.75" customHeight="1" x14ac:dyDescent="0.4">
      <c r="T738" s="182"/>
      <c r="U738" s="182"/>
    </row>
    <row r="739" spans="20:21" ht="15.75" customHeight="1" x14ac:dyDescent="0.4">
      <c r="T739" s="182"/>
      <c r="U739" s="182"/>
    </row>
    <row r="740" spans="20:21" ht="15.75" customHeight="1" x14ac:dyDescent="0.4">
      <c r="T740" s="182"/>
      <c r="U740" s="182"/>
    </row>
    <row r="741" spans="20:21" ht="15.75" customHeight="1" x14ac:dyDescent="0.4">
      <c r="T741" s="182"/>
      <c r="U741" s="182"/>
    </row>
    <row r="742" spans="20:21" ht="15.75" customHeight="1" x14ac:dyDescent="0.4">
      <c r="T742" s="182"/>
      <c r="U742" s="182"/>
    </row>
    <row r="743" spans="20:21" ht="15.75" customHeight="1" x14ac:dyDescent="0.4">
      <c r="T743" s="182"/>
      <c r="U743" s="182"/>
    </row>
    <row r="744" spans="20:21" ht="15.75" customHeight="1" x14ac:dyDescent="0.4">
      <c r="T744" s="182"/>
      <c r="U744" s="182"/>
    </row>
    <row r="745" spans="20:21" ht="15.75" customHeight="1" x14ac:dyDescent="0.4">
      <c r="T745" s="182"/>
      <c r="U745" s="182"/>
    </row>
    <row r="746" spans="20:21" ht="15.75" customHeight="1" x14ac:dyDescent="0.4">
      <c r="T746" s="182"/>
      <c r="U746" s="182"/>
    </row>
    <row r="747" spans="20:21" ht="15.75" customHeight="1" x14ac:dyDescent="0.4">
      <c r="T747" s="182"/>
      <c r="U747" s="182"/>
    </row>
    <row r="748" spans="20:21" ht="15.75" customHeight="1" x14ac:dyDescent="0.4">
      <c r="T748" s="182"/>
      <c r="U748" s="182"/>
    </row>
    <row r="749" spans="20:21" ht="15.75" customHeight="1" x14ac:dyDescent="0.4">
      <c r="T749" s="182"/>
      <c r="U749" s="182"/>
    </row>
    <row r="750" spans="20:21" ht="15.75" customHeight="1" x14ac:dyDescent="0.4">
      <c r="T750" s="182"/>
      <c r="U750" s="182"/>
    </row>
    <row r="751" spans="20:21" ht="15.75" customHeight="1" x14ac:dyDescent="0.4">
      <c r="T751" s="182"/>
      <c r="U751" s="182"/>
    </row>
    <row r="752" spans="20:21" ht="15.75" customHeight="1" x14ac:dyDescent="0.4">
      <c r="T752" s="182"/>
      <c r="U752" s="182"/>
    </row>
    <row r="753" spans="20:21" ht="15.75" customHeight="1" x14ac:dyDescent="0.4">
      <c r="T753" s="182"/>
      <c r="U753" s="182"/>
    </row>
    <row r="754" spans="20:21" ht="15.75" customHeight="1" x14ac:dyDescent="0.4">
      <c r="T754" s="182"/>
      <c r="U754" s="182"/>
    </row>
    <row r="755" spans="20:21" ht="15.75" customHeight="1" x14ac:dyDescent="0.4">
      <c r="T755" s="182"/>
      <c r="U755" s="182"/>
    </row>
    <row r="756" spans="20:21" ht="15.75" customHeight="1" x14ac:dyDescent="0.4">
      <c r="T756" s="182"/>
      <c r="U756" s="182"/>
    </row>
    <row r="757" spans="20:21" ht="15.75" customHeight="1" x14ac:dyDescent="0.4">
      <c r="T757" s="182"/>
      <c r="U757" s="182"/>
    </row>
    <row r="758" spans="20:21" ht="15.75" customHeight="1" x14ac:dyDescent="0.4">
      <c r="T758" s="182"/>
      <c r="U758" s="182"/>
    </row>
    <row r="759" spans="20:21" ht="15.75" customHeight="1" x14ac:dyDescent="0.4">
      <c r="T759" s="182"/>
      <c r="U759" s="182"/>
    </row>
    <row r="760" spans="20:21" ht="15.75" customHeight="1" x14ac:dyDescent="0.4">
      <c r="T760" s="182"/>
      <c r="U760" s="182"/>
    </row>
    <row r="761" spans="20:21" ht="15.75" customHeight="1" x14ac:dyDescent="0.4">
      <c r="T761" s="182"/>
      <c r="U761" s="182"/>
    </row>
    <row r="762" spans="20:21" ht="15.75" customHeight="1" x14ac:dyDescent="0.4">
      <c r="T762" s="182"/>
      <c r="U762" s="182"/>
    </row>
    <row r="763" spans="20:21" ht="15.75" customHeight="1" x14ac:dyDescent="0.4">
      <c r="T763" s="182"/>
      <c r="U763" s="182"/>
    </row>
    <row r="764" spans="20:21" ht="15.75" customHeight="1" x14ac:dyDescent="0.4">
      <c r="T764" s="182"/>
      <c r="U764" s="182"/>
    </row>
    <row r="765" spans="20:21" ht="15.75" customHeight="1" x14ac:dyDescent="0.4">
      <c r="T765" s="182"/>
      <c r="U765" s="182"/>
    </row>
    <row r="766" spans="20:21" ht="15.75" customHeight="1" x14ac:dyDescent="0.4">
      <c r="T766" s="182"/>
      <c r="U766" s="182"/>
    </row>
    <row r="767" spans="20:21" ht="15.75" customHeight="1" x14ac:dyDescent="0.4">
      <c r="T767" s="182"/>
      <c r="U767" s="182"/>
    </row>
    <row r="768" spans="20:21" ht="15.75" customHeight="1" x14ac:dyDescent="0.4">
      <c r="T768" s="182"/>
      <c r="U768" s="182"/>
    </row>
    <row r="769" spans="20:21" ht="15.75" customHeight="1" x14ac:dyDescent="0.4">
      <c r="T769" s="182"/>
      <c r="U769" s="182"/>
    </row>
    <row r="770" spans="20:21" ht="15.75" customHeight="1" x14ac:dyDescent="0.4">
      <c r="T770" s="182"/>
      <c r="U770" s="182"/>
    </row>
    <row r="771" spans="20:21" ht="15.75" customHeight="1" x14ac:dyDescent="0.4">
      <c r="T771" s="182"/>
      <c r="U771" s="182"/>
    </row>
    <row r="772" spans="20:21" ht="15.75" customHeight="1" x14ac:dyDescent="0.4">
      <c r="T772" s="182"/>
      <c r="U772" s="182"/>
    </row>
    <row r="773" spans="20:21" ht="15.75" customHeight="1" x14ac:dyDescent="0.4">
      <c r="T773" s="182"/>
      <c r="U773" s="182"/>
    </row>
    <row r="774" spans="20:21" ht="15.75" customHeight="1" x14ac:dyDescent="0.4">
      <c r="T774" s="182"/>
      <c r="U774" s="182"/>
    </row>
    <row r="775" spans="20:21" ht="15.75" customHeight="1" x14ac:dyDescent="0.4">
      <c r="T775" s="182"/>
      <c r="U775" s="182"/>
    </row>
    <row r="776" spans="20:21" ht="15.75" customHeight="1" x14ac:dyDescent="0.4">
      <c r="T776" s="182"/>
      <c r="U776" s="182"/>
    </row>
    <row r="777" spans="20:21" ht="15.75" customHeight="1" x14ac:dyDescent="0.4">
      <c r="T777" s="182"/>
      <c r="U777" s="182"/>
    </row>
    <row r="778" spans="20:21" ht="15.75" customHeight="1" x14ac:dyDescent="0.4">
      <c r="T778" s="182"/>
      <c r="U778" s="182"/>
    </row>
    <row r="779" spans="20:21" ht="15.75" customHeight="1" x14ac:dyDescent="0.4">
      <c r="T779" s="182"/>
      <c r="U779" s="182"/>
    </row>
    <row r="780" spans="20:21" ht="15.75" customHeight="1" x14ac:dyDescent="0.4">
      <c r="T780" s="182"/>
      <c r="U780" s="182"/>
    </row>
    <row r="781" spans="20:21" ht="15.75" customHeight="1" x14ac:dyDescent="0.4">
      <c r="T781" s="182"/>
      <c r="U781" s="182"/>
    </row>
    <row r="782" spans="20:21" ht="15.75" customHeight="1" x14ac:dyDescent="0.4">
      <c r="T782" s="182"/>
      <c r="U782" s="182"/>
    </row>
    <row r="783" spans="20:21" ht="15.75" customHeight="1" x14ac:dyDescent="0.4">
      <c r="T783" s="182"/>
      <c r="U783" s="182"/>
    </row>
    <row r="784" spans="20:21" ht="15.75" customHeight="1" x14ac:dyDescent="0.4">
      <c r="T784" s="182"/>
      <c r="U784" s="182"/>
    </row>
    <row r="785" spans="20:21" ht="15.75" customHeight="1" x14ac:dyDescent="0.4">
      <c r="T785" s="182"/>
      <c r="U785" s="182"/>
    </row>
    <row r="786" spans="20:21" ht="15.75" customHeight="1" x14ac:dyDescent="0.4">
      <c r="T786" s="182"/>
      <c r="U786" s="182"/>
    </row>
    <row r="787" spans="20:21" ht="15.75" customHeight="1" x14ac:dyDescent="0.4">
      <c r="T787" s="182"/>
      <c r="U787" s="182"/>
    </row>
    <row r="788" spans="20:21" ht="15.75" customHeight="1" x14ac:dyDescent="0.4">
      <c r="T788" s="182"/>
      <c r="U788" s="182"/>
    </row>
    <row r="789" spans="20:21" ht="15.75" customHeight="1" x14ac:dyDescent="0.4">
      <c r="T789" s="182"/>
      <c r="U789" s="182"/>
    </row>
    <row r="790" spans="20:21" ht="15.75" customHeight="1" x14ac:dyDescent="0.4">
      <c r="T790" s="182"/>
      <c r="U790" s="182"/>
    </row>
    <row r="791" spans="20:21" ht="15.75" customHeight="1" x14ac:dyDescent="0.4">
      <c r="T791" s="182"/>
      <c r="U791" s="182"/>
    </row>
    <row r="792" spans="20:21" ht="15.75" customHeight="1" x14ac:dyDescent="0.4">
      <c r="T792" s="182"/>
      <c r="U792" s="182"/>
    </row>
    <row r="793" spans="20:21" ht="15.75" customHeight="1" x14ac:dyDescent="0.4">
      <c r="T793" s="182"/>
      <c r="U793" s="182"/>
    </row>
    <row r="794" spans="20:21" ht="15.75" customHeight="1" x14ac:dyDescent="0.4">
      <c r="T794" s="182"/>
      <c r="U794" s="182"/>
    </row>
    <row r="795" spans="20:21" ht="15.75" customHeight="1" x14ac:dyDescent="0.4">
      <c r="T795" s="182"/>
      <c r="U795" s="182"/>
    </row>
    <row r="796" spans="20:21" ht="15.75" customHeight="1" x14ac:dyDescent="0.4">
      <c r="T796" s="182"/>
      <c r="U796" s="182"/>
    </row>
    <row r="797" spans="20:21" ht="15.75" customHeight="1" x14ac:dyDescent="0.4">
      <c r="T797" s="182"/>
      <c r="U797" s="182"/>
    </row>
    <row r="798" spans="20:21" ht="15.75" customHeight="1" x14ac:dyDescent="0.4">
      <c r="T798" s="182"/>
      <c r="U798" s="182"/>
    </row>
    <row r="799" spans="20:21" ht="15.75" customHeight="1" x14ac:dyDescent="0.4">
      <c r="T799" s="182"/>
      <c r="U799" s="182"/>
    </row>
    <row r="800" spans="20:21" ht="15.75" customHeight="1" x14ac:dyDescent="0.4">
      <c r="T800" s="182"/>
      <c r="U800" s="182"/>
    </row>
    <row r="801" spans="20:21" ht="15.75" customHeight="1" x14ac:dyDescent="0.4">
      <c r="T801" s="182"/>
      <c r="U801" s="182"/>
    </row>
    <row r="802" spans="20:21" ht="15.75" customHeight="1" x14ac:dyDescent="0.4">
      <c r="T802" s="182"/>
      <c r="U802" s="182"/>
    </row>
    <row r="803" spans="20:21" ht="15.75" customHeight="1" x14ac:dyDescent="0.4">
      <c r="T803" s="182"/>
      <c r="U803" s="182"/>
    </row>
    <row r="804" spans="20:21" ht="15.75" customHeight="1" x14ac:dyDescent="0.4">
      <c r="T804" s="182"/>
      <c r="U804" s="182"/>
    </row>
    <row r="805" spans="20:21" ht="15.75" customHeight="1" x14ac:dyDescent="0.4">
      <c r="T805" s="182"/>
      <c r="U805" s="182"/>
    </row>
    <row r="806" spans="20:21" ht="15.75" customHeight="1" x14ac:dyDescent="0.4">
      <c r="T806" s="182"/>
      <c r="U806" s="182"/>
    </row>
    <row r="807" spans="20:21" ht="15.75" customHeight="1" x14ac:dyDescent="0.4">
      <c r="T807" s="182"/>
      <c r="U807" s="182"/>
    </row>
    <row r="808" spans="20:21" ht="15.75" customHeight="1" x14ac:dyDescent="0.4">
      <c r="T808" s="182"/>
      <c r="U808" s="182"/>
    </row>
    <row r="809" spans="20:21" ht="15.75" customHeight="1" x14ac:dyDescent="0.4">
      <c r="T809" s="182"/>
      <c r="U809" s="182"/>
    </row>
    <row r="810" spans="20:21" ht="15.75" customHeight="1" x14ac:dyDescent="0.4">
      <c r="T810" s="182"/>
      <c r="U810" s="182"/>
    </row>
    <row r="811" spans="20:21" ht="15.75" customHeight="1" x14ac:dyDescent="0.4">
      <c r="T811" s="182"/>
      <c r="U811" s="182"/>
    </row>
    <row r="812" spans="20:21" ht="15.75" customHeight="1" x14ac:dyDescent="0.4">
      <c r="T812" s="182"/>
      <c r="U812" s="182"/>
    </row>
    <row r="813" spans="20:21" ht="15.75" customHeight="1" x14ac:dyDescent="0.4">
      <c r="T813" s="182"/>
      <c r="U813" s="182"/>
    </row>
    <row r="814" spans="20:21" ht="15.75" customHeight="1" x14ac:dyDescent="0.4">
      <c r="T814" s="182"/>
      <c r="U814" s="182"/>
    </row>
    <row r="815" spans="20:21" ht="15.75" customHeight="1" x14ac:dyDescent="0.4">
      <c r="T815" s="182"/>
      <c r="U815" s="182"/>
    </row>
    <row r="816" spans="20:21" ht="15.75" customHeight="1" x14ac:dyDescent="0.4">
      <c r="T816" s="182"/>
      <c r="U816" s="182"/>
    </row>
    <row r="817" spans="20:21" ht="15.75" customHeight="1" x14ac:dyDescent="0.4">
      <c r="T817" s="182"/>
      <c r="U817" s="182"/>
    </row>
    <row r="818" spans="20:21" ht="15.75" customHeight="1" x14ac:dyDescent="0.4">
      <c r="T818" s="182"/>
      <c r="U818" s="182"/>
    </row>
    <row r="819" spans="20:21" ht="15.75" customHeight="1" x14ac:dyDescent="0.4">
      <c r="T819" s="182"/>
      <c r="U819" s="182"/>
    </row>
    <row r="820" spans="20:21" ht="15.75" customHeight="1" x14ac:dyDescent="0.4">
      <c r="T820" s="182"/>
      <c r="U820" s="182"/>
    </row>
    <row r="821" spans="20:21" ht="15.75" customHeight="1" x14ac:dyDescent="0.4">
      <c r="T821" s="182"/>
      <c r="U821" s="182"/>
    </row>
    <row r="822" spans="20:21" ht="15.75" customHeight="1" x14ac:dyDescent="0.4">
      <c r="T822" s="182"/>
      <c r="U822" s="182"/>
    </row>
    <row r="823" spans="20:21" ht="15.75" customHeight="1" x14ac:dyDescent="0.4">
      <c r="T823" s="182"/>
      <c r="U823" s="182"/>
    </row>
    <row r="824" spans="20:21" ht="15.75" customHeight="1" x14ac:dyDescent="0.4">
      <c r="T824" s="182"/>
      <c r="U824" s="182"/>
    </row>
    <row r="825" spans="20:21" ht="15.75" customHeight="1" x14ac:dyDescent="0.4">
      <c r="T825" s="182"/>
      <c r="U825" s="182"/>
    </row>
    <row r="826" spans="20:21" ht="15.75" customHeight="1" x14ac:dyDescent="0.4">
      <c r="T826" s="182"/>
      <c r="U826" s="182"/>
    </row>
    <row r="827" spans="20:21" ht="15.75" customHeight="1" x14ac:dyDescent="0.4">
      <c r="T827" s="182"/>
      <c r="U827" s="182"/>
    </row>
    <row r="828" spans="20:21" ht="15.75" customHeight="1" x14ac:dyDescent="0.4">
      <c r="T828" s="182"/>
      <c r="U828" s="182"/>
    </row>
    <row r="829" spans="20:21" ht="15.75" customHeight="1" x14ac:dyDescent="0.4">
      <c r="T829" s="182"/>
      <c r="U829" s="182"/>
    </row>
    <row r="830" spans="20:21" ht="15.75" customHeight="1" x14ac:dyDescent="0.4">
      <c r="T830" s="182"/>
      <c r="U830" s="182"/>
    </row>
    <row r="831" spans="20:21" ht="15.75" customHeight="1" x14ac:dyDescent="0.4">
      <c r="T831" s="182"/>
      <c r="U831" s="182"/>
    </row>
    <row r="832" spans="20:21" ht="15.75" customHeight="1" x14ac:dyDescent="0.4">
      <c r="T832" s="182"/>
      <c r="U832" s="182"/>
    </row>
    <row r="833" spans="20:21" ht="15.75" customHeight="1" x14ac:dyDescent="0.4">
      <c r="T833" s="182"/>
      <c r="U833" s="182"/>
    </row>
    <row r="834" spans="20:21" ht="15.75" customHeight="1" x14ac:dyDescent="0.4">
      <c r="T834" s="182"/>
      <c r="U834" s="182"/>
    </row>
    <row r="835" spans="20:21" ht="15.75" customHeight="1" x14ac:dyDescent="0.4">
      <c r="T835" s="182"/>
      <c r="U835" s="182"/>
    </row>
    <row r="836" spans="20:21" ht="15.75" customHeight="1" x14ac:dyDescent="0.4">
      <c r="T836" s="182"/>
      <c r="U836" s="182"/>
    </row>
    <row r="837" spans="20:21" ht="15.75" customHeight="1" x14ac:dyDescent="0.4">
      <c r="T837" s="182"/>
      <c r="U837" s="182"/>
    </row>
    <row r="838" spans="20:21" ht="15.75" customHeight="1" x14ac:dyDescent="0.4">
      <c r="T838" s="182"/>
      <c r="U838" s="182"/>
    </row>
    <row r="839" spans="20:21" ht="15.75" customHeight="1" x14ac:dyDescent="0.4">
      <c r="T839" s="182"/>
      <c r="U839" s="182"/>
    </row>
    <row r="840" spans="20:21" ht="15.75" customHeight="1" x14ac:dyDescent="0.4">
      <c r="T840" s="182"/>
      <c r="U840" s="182"/>
    </row>
    <row r="841" spans="20:21" ht="15.75" customHeight="1" x14ac:dyDescent="0.4">
      <c r="T841" s="182"/>
      <c r="U841" s="182"/>
    </row>
    <row r="842" spans="20:21" ht="15.75" customHeight="1" x14ac:dyDescent="0.4">
      <c r="T842" s="182"/>
      <c r="U842" s="182"/>
    </row>
    <row r="843" spans="20:21" ht="15.75" customHeight="1" x14ac:dyDescent="0.4">
      <c r="T843" s="182"/>
      <c r="U843" s="182"/>
    </row>
    <row r="844" spans="20:21" ht="15.75" customHeight="1" x14ac:dyDescent="0.4">
      <c r="T844" s="182"/>
      <c r="U844" s="182"/>
    </row>
    <row r="845" spans="20:21" ht="15.75" customHeight="1" x14ac:dyDescent="0.4">
      <c r="T845" s="182"/>
      <c r="U845" s="182"/>
    </row>
    <row r="846" spans="20:21" ht="15.75" customHeight="1" x14ac:dyDescent="0.4">
      <c r="T846" s="182"/>
      <c r="U846" s="182"/>
    </row>
    <row r="847" spans="20:21" ht="15.75" customHeight="1" x14ac:dyDescent="0.4">
      <c r="T847" s="182"/>
      <c r="U847" s="182"/>
    </row>
    <row r="848" spans="20:21" ht="15.75" customHeight="1" x14ac:dyDescent="0.4">
      <c r="T848" s="182"/>
      <c r="U848" s="182"/>
    </row>
    <row r="849" spans="20:21" ht="15.75" customHeight="1" x14ac:dyDescent="0.4">
      <c r="T849" s="182"/>
      <c r="U849" s="182"/>
    </row>
    <row r="850" spans="20:21" ht="15.75" customHeight="1" x14ac:dyDescent="0.4">
      <c r="T850" s="182"/>
      <c r="U850" s="182"/>
    </row>
    <row r="851" spans="20:21" ht="15.75" customHeight="1" x14ac:dyDescent="0.4">
      <c r="T851" s="182"/>
      <c r="U851" s="182"/>
    </row>
    <row r="852" spans="20:21" ht="15.75" customHeight="1" x14ac:dyDescent="0.4">
      <c r="T852" s="182"/>
      <c r="U852" s="182"/>
    </row>
    <row r="853" spans="20:21" ht="15.75" customHeight="1" x14ac:dyDescent="0.4">
      <c r="T853" s="182"/>
      <c r="U853" s="182"/>
    </row>
    <row r="854" spans="20:21" ht="15.75" customHeight="1" x14ac:dyDescent="0.4">
      <c r="T854" s="182"/>
      <c r="U854" s="182"/>
    </row>
    <row r="855" spans="20:21" ht="15.75" customHeight="1" x14ac:dyDescent="0.4">
      <c r="T855" s="182"/>
      <c r="U855" s="182"/>
    </row>
    <row r="856" spans="20:21" ht="15.75" customHeight="1" x14ac:dyDescent="0.4">
      <c r="T856" s="182"/>
      <c r="U856" s="182"/>
    </row>
    <row r="857" spans="20:21" ht="15.75" customHeight="1" x14ac:dyDescent="0.4">
      <c r="T857" s="182"/>
      <c r="U857" s="182"/>
    </row>
    <row r="858" spans="20:21" ht="15.75" customHeight="1" x14ac:dyDescent="0.4">
      <c r="T858" s="182"/>
      <c r="U858" s="182"/>
    </row>
    <row r="859" spans="20:21" ht="15.75" customHeight="1" x14ac:dyDescent="0.4">
      <c r="T859" s="182"/>
      <c r="U859" s="182"/>
    </row>
    <row r="860" spans="20:21" ht="15.75" customHeight="1" x14ac:dyDescent="0.4">
      <c r="T860" s="182"/>
      <c r="U860" s="182"/>
    </row>
    <row r="861" spans="20:21" ht="15.75" customHeight="1" x14ac:dyDescent="0.4">
      <c r="T861" s="182"/>
      <c r="U861" s="182"/>
    </row>
    <row r="862" spans="20:21" ht="15.75" customHeight="1" x14ac:dyDescent="0.4">
      <c r="T862" s="182"/>
      <c r="U862" s="182"/>
    </row>
    <row r="863" spans="20:21" ht="15.75" customHeight="1" x14ac:dyDescent="0.4">
      <c r="T863" s="182"/>
      <c r="U863" s="182"/>
    </row>
    <row r="864" spans="20:21" ht="15.75" customHeight="1" x14ac:dyDescent="0.4">
      <c r="T864" s="182"/>
      <c r="U864" s="182"/>
    </row>
    <row r="865" spans="20:21" ht="15.75" customHeight="1" x14ac:dyDescent="0.4">
      <c r="T865" s="182"/>
      <c r="U865" s="182"/>
    </row>
    <row r="866" spans="20:21" ht="15.75" customHeight="1" x14ac:dyDescent="0.4">
      <c r="T866" s="182"/>
      <c r="U866" s="182"/>
    </row>
    <row r="867" spans="20:21" ht="15.75" customHeight="1" x14ac:dyDescent="0.4">
      <c r="T867" s="182"/>
      <c r="U867" s="182"/>
    </row>
    <row r="868" spans="20:21" ht="15.75" customHeight="1" x14ac:dyDescent="0.4">
      <c r="T868" s="182"/>
      <c r="U868" s="182"/>
    </row>
    <row r="869" spans="20:21" ht="15.75" customHeight="1" x14ac:dyDescent="0.4">
      <c r="T869" s="182"/>
      <c r="U869" s="182"/>
    </row>
    <row r="870" spans="20:21" ht="15.75" customHeight="1" x14ac:dyDescent="0.4">
      <c r="T870" s="182"/>
      <c r="U870" s="182"/>
    </row>
    <row r="871" spans="20:21" ht="15.75" customHeight="1" x14ac:dyDescent="0.4">
      <c r="T871" s="182"/>
      <c r="U871" s="182"/>
    </row>
    <row r="872" spans="20:21" ht="15.75" customHeight="1" x14ac:dyDescent="0.4">
      <c r="T872" s="182"/>
      <c r="U872" s="182"/>
    </row>
    <row r="873" spans="20:21" ht="15.75" customHeight="1" x14ac:dyDescent="0.4">
      <c r="T873" s="182"/>
      <c r="U873" s="182"/>
    </row>
    <row r="874" spans="20:21" ht="15.75" customHeight="1" x14ac:dyDescent="0.4">
      <c r="T874" s="182"/>
      <c r="U874" s="182"/>
    </row>
    <row r="875" spans="20:21" ht="15.75" customHeight="1" x14ac:dyDescent="0.4">
      <c r="T875" s="182"/>
      <c r="U875" s="182"/>
    </row>
    <row r="876" spans="20:21" ht="15.75" customHeight="1" x14ac:dyDescent="0.4">
      <c r="T876" s="182"/>
      <c r="U876" s="182"/>
    </row>
    <row r="877" spans="20:21" ht="15.75" customHeight="1" x14ac:dyDescent="0.4">
      <c r="T877" s="182"/>
      <c r="U877" s="182"/>
    </row>
    <row r="878" spans="20:21" ht="15.75" customHeight="1" x14ac:dyDescent="0.4">
      <c r="T878" s="182"/>
      <c r="U878" s="182"/>
    </row>
    <row r="879" spans="20:21" ht="15.75" customHeight="1" x14ac:dyDescent="0.4">
      <c r="T879" s="182"/>
      <c r="U879" s="182"/>
    </row>
    <row r="880" spans="20:21" ht="15.75" customHeight="1" x14ac:dyDescent="0.4">
      <c r="T880" s="182"/>
      <c r="U880" s="182"/>
    </row>
    <row r="881" spans="20:21" ht="15.75" customHeight="1" x14ac:dyDescent="0.4">
      <c r="T881" s="182"/>
      <c r="U881" s="182"/>
    </row>
    <row r="882" spans="20:21" ht="15.75" customHeight="1" x14ac:dyDescent="0.4">
      <c r="T882" s="182"/>
      <c r="U882" s="182"/>
    </row>
    <row r="883" spans="20:21" ht="15.75" customHeight="1" x14ac:dyDescent="0.4">
      <c r="T883" s="182"/>
      <c r="U883" s="182"/>
    </row>
    <row r="884" spans="20:21" ht="15.75" customHeight="1" x14ac:dyDescent="0.4">
      <c r="T884" s="182"/>
      <c r="U884" s="182"/>
    </row>
    <row r="885" spans="20:21" ht="15.75" customHeight="1" x14ac:dyDescent="0.4">
      <c r="T885" s="182"/>
      <c r="U885" s="182"/>
    </row>
    <row r="886" spans="20:21" ht="15.75" customHeight="1" x14ac:dyDescent="0.4">
      <c r="T886" s="182"/>
      <c r="U886" s="182"/>
    </row>
    <row r="887" spans="20:21" ht="15.75" customHeight="1" x14ac:dyDescent="0.4">
      <c r="T887" s="182"/>
      <c r="U887" s="182"/>
    </row>
    <row r="888" spans="20:21" ht="15.75" customHeight="1" x14ac:dyDescent="0.4">
      <c r="T888" s="182"/>
      <c r="U888" s="182"/>
    </row>
    <row r="889" spans="20:21" ht="15.75" customHeight="1" x14ac:dyDescent="0.4">
      <c r="T889" s="182"/>
      <c r="U889" s="182"/>
    </row>
    <row r="890" spans="20:21" ht="15.75" customHeight="1" x14ac:dyDescent="0.4">
      <c r="T890" s="182"/>
      <c r="U890" s="182"/>
    </row>
    <row r="891" spans="20:21" ht="15.75" customHeight="1" x14ac:dyDescent="0.4">
      <c r="T891" s="182"/>
      <c r="U891" s="182"/>
    </row>
    <row r="892" spans="20:21" ht="15.75" customHeight="1" x14ac:dyDescent="0.4">
      <c r="T892" s="182"/>
      <c r="U892" s="182"/>
    </row>
    <row r="893" spans="20:21" ht="15.75" customHeight="1" x14ac:dyDescent="0.4">
      <c r="T893" s="182"/>
      <c r="U893" s="182"/>
    </row>
    <row r="894" spans="20:21" ht="15.75" customHeight="1" x14ac:dyDescent="0.4">
      <c r="T894" s="182"/>
      <c r="U894" s="182"/>
    </row>
    <row r="895" spans="20:21" ht="15.75" customHeight="1" x14ac:dyDescent="0.4">
      <c r="T895" s="182"/>
      <c r="U895" s="182"/>
    </row>
    <row r="896" spans="20:21" ht="15.75" customHeight="1" x14ac:dyDescent="0.4">
      <c r="T896" s="182"/>
      <c r="U896" s="182"/>
    </row>
    <row r="897" spans="20:21" ht="15.75" customHeight="1" x14ac:dyDescent="0.4">
      <c r="T897" s="182"/>
      <c r="U897" s="182"/>
    </row>
    <row r="898" spans="20:21" ht="15.75" customHeight="1" x14ac:dyDescent="0.4">
      <c r="T898" s="182"/>
      <c r="U898" s="182"/>
    </row>
    <row r="899" spans="20:21" ht="15.75" customHeight="1" x14ac:dyDescent="0.4">
      <c r="T899" s="182"/>
      <c r="U899" s="182"/>
    </row>
    <row r="900" spans="20:21" ht="15.75" customHeight="1" x14ac:dyDescent="0.4">
      <c r="T900" s="182"/>
      <c r="U900" s="182"/>
    </row>
    <row r="901" spans="20:21" ht="15.75" customHeight="1" x14ac:dyDescent="0.4">
      <c r="T901" s="182"/>
      <c r="U901" s="182"/>
    </row>
    <row r="902" spans="20:21" ht="15.75" customHeight="1" x14ac:dyDescent="0.4">
      <c r="T902" s="182"/>
      <c r="U902" s="182"/>
    </row>
    <row r="903" spans="20:21" ht="15.75" customHeight="1" x14ac:dyDescent="0.4">
      <c r="T903" s="182"/>
      <c r="U903" s="182"/>
    </row>
    <row r="904" spans="20:21" ht="15.75" customHeight="1" x14ac:dyDescent="0.4">
      <c r="T904" s="182"/>
      <c r="U904" s="182"/>
    </row>
    <row r="905" spans="20:21" ht="15.75" customHeight="1" x14ac:dyDescent="0.4">
      <c r="T905" s="182"/>
      <c r="U905" s="182"/>
    </row>
    <row r="906" spans="20:21" ht="15.75" customHeight="1" x14ac:dyDescent="0.4">
      <c r="T906" s="182"/>
      <c r="U906" s="182"/>
    </row>
    <row r="907" spans="20:21" ht="15.75" customHeight="1" x14ac:dyDescent="0.4">
      <c r="T907" s="182"/>
      <c r="U907" s="182"/>
    </row>
    <row r="908" spans="20:21" ht="15.75" customHeight="1" x14ac:dyDescent="0.4">
      <c r="T908" s="182"/>
      <c r="U908" s="182"/>
    </row>
    <row r="909" spans="20:21" ht="15.75" customHeight="1" x14ac:dyDescent="0.4">
      <c r="T909" s="182"/>
      <c r="U909" s="182"/>
    </row>
    <row r="910" spans="20:21" ht="15.75" customHeight="1" x14ac:dyDescent="0.4">
      <c r="T910" s="182"/>
      <c r="U910" s="182"/>
    </row>
    <row r="911" spans="20:21" ht="15.75" customHeight="1" x14ac:dyDescent="0.4">
      <c r="T911" s="182"/>
      <c r="U911" s="182"/>
    </row>
    <row r="912" spans="20:21" ht="15.75" customHeight="1" x14ac:dyDescent="0.4">
      <c r="T912" s="182"/>
      <c r="U912" s="182"/>
    </row>
    <row r="913" spans="20:21" ht="15.75" customHeight="1" x14ac:dyDescent="0.4">
      <c r="T913" s="182"/>
      <c r="U913" s="182"/>
    </row>
    <row r="914" spans="20:21" ht="15.75" customHeight="1" x14ac:dyDescent="0.4">
      <c r="T914" s="182"/>
      <c r="U914" s="182"/>
    </row>
    <row r="915" spans="20:21" ht="15.75" customHeight="1" x14ac:dyDescent="0.4">
      <c r="T915" s="182"/>
      <c r="U915" s="182"/>
    </row>
    <row r="916" spans="20:21" ht="15.75" customHeight="1" x14ac:dyDescent="0.4">
      <c r="T916" s="182"/>
      <c r="U916" s="182"/>
    </row>
    <row r="917" spans="20:21" ht="15.75" customHeight="1" x14ac:dyDescent="0.4">
      <c r="T917" s="182"/>
      <c r="U917" s="182"/>
    </row>
    <row r="918" spans="20:21" ht="15.75" customHeight="1" x14ac:dyDescent="0.4">
      <c r="T918" s="182"/>
      <c r="U918" s="182"/>
    </row>
    <row r="919" spans="20:21" ht="15.75" customHeight="1" x14ac:dyDescent="0.4">
      <c r="T919" s="182"/>
      <c r="U919" s="182"/>
    </row>
    <row r="920" spans="20:21" ht="15.75" customHeight="1" x14ac:dyDescent="0.4">
      <c r="T920" s="182"/>
      <c r="U920" s="182"/>
    </row>
    <row r="921" spans="20:21" ht="15.75" customHeight="1" x14ac:dyDescent="0.4">
      <c r="T921" s="182"/>
      <c r="U921" s="182"/>
    </row>
    <row r="922" spans="20:21" ht="15.75" customHeight="1" x14ac:dyDescent="0.4">
      <c r="T922" s="182"/>
      <c r="U922" s="182"/>
    </row>
    <row r="923" spans="20:21" ht="15.75" customHeight="1" x14ac:dyDescent="0.4">
      <c r="T923" s="182"/>
      <c r="U923" s="182"/>
    </row>
    <row r="924" spans="20:21" ht="15.75" customHeight="1" x14ac:dyDescent="0.4">
      <c r="T924" s="182"/>
      <c r="U924" s="182"/>
    </row>
    <row r="925" spans="20:21" ht="15.75" customHeight="1" x14ac:dyDescent="0.4">
      <c r="T925" s="182"/>
      <c r="U925" s="182"/>
    </row>
    <row r="926" spans="20:21" ht="15.75" customHeight="1" x14ac:dyDescent="0.4">
      <c r="T926" s="182"/>
      <c r="U926" s="182"/>
    </row>
    <row r="927" spans="20:21" ht="15.75" customHeight="1" x14ac:dyDescent="0.4">
      <c r="T927" s="182"/>
      <c r="U927" s="182"/>
    </row>
    <row r="928" spans="20:21" ht="15.75" customHeight="1" x14ac:dyDescent="0.4">
      <c r="T928" s="182"/>
      <c r="U928" s="182"/>
    </row>
    <row r="929" spans="20:21" ht="15.75" customHeight="1" x14ac:dyDescent="0.4">
      <c r="T929" s="182"/>
      <c r="U929" s="182"/>
    </row>
    <row r="930" spans="20:21" ht="15.75" customHeight="1" x14ac:dyDescent="0.4">
      <c r="T930" s="182"/>
      <c r="U930" s="182"/>
    </row>
    <row r="931" spans="20:21" ht="15.75" customHeight="1" x14ac:dyDescent="0.4">
      <c r="T931" s="182"/>
      <c r="U931" s="182"/>
    </row>
    <row r="932" spans="20:21" ht="15.75" customHeight="1" x14ac:dyDescent="0.4">
      <c r="T932" s="182"/>
      <c r="U932" s="182"/>
    </row>
    <row r="933" spans="20:21" ht="15.75" customHeight="1" x14ac:dyDescent="0.4">
      <c r="T933" s="182"/>
      <c r="U933" s="182"/>
    </row>
    <row r="934" spans="20:21" ht="15.75" customHeight="1" x14ac:dyDescent="0.4">
      <c r="T934" s="182"/>
      <c r="U934" s="182"/>
    </row>
    <row r="935" spans="20:21" ht="15.75" customHeight="1" x14ac:dyDescent="0.4">
      <c r="T935" s="182"/>
      <c r="U935" s="182"/>
    </row>
    <row r="936" spans="20:21" ht="15.75" customHeight="1" x14ac:dyDescent="0.4">
      <c r="T936" s="182"/>
      <c r="U936" s="182"/>
    </row>
    <row r="937" spans="20:21" ht="15.75" customHeight="1" x14ac:dyDescent="0.4">
      <c r="T937" s="182"/>
      <c r="U937" s="182"/>
    </row>
    <row r="938" spans="20:21" ht="15.75" customHeight="1" x14ac:dyDescent="0.4">
      <c r="T938" s="182"/>
      <c r="U938" s="182"/>
    </row>
    <row r="939" spans="20:21" ht="15.75" customHeight="1" x14ac:dyDescent="0.4">
      <c r="T939" s="182"/>
      <c r="U939" s="182"/>
    </row>
    <row r="940" spans="20:21" ht="15.75" customHeight="1" x14ac:dyDescent="0.4">
      <c r="T940" s="182"/>
      <c r="U940" s="182"/>
    </row>
    <row r="941" spans="20:21" ht="15.75" customHeight="1" x14ac:dyDescent="0.4">
      <c r="T941" s="182"/>
      <c r="U941" s="182"/>
    </row>
    <row r="942" spans="20:21" ht="15.75" customHeight="1" x14ac:dyDescent="0.4">
      <c r="T942" s="182"/>
      <c r="U942" s="182"/>
    </row>
    <row r="943" spans="20:21" ht="15.75" customHeight="1" x14ac:dyDescent="0.4">
      <c r="T943" s="182"/>
      <c r="U943" s="182"/>
    </row>
    <row r="944" spans="20:21" ht="15.75" customHeight="1" x14ac:dyDescent="0.4">
      <c r="T944" s="182"/>
      <c r="U944" s="182"/>
    </row>
    <row r="945" spans="20:21" ht="15.75" customHeight="1" x14ac:dyDescent="0.4">
      <c r="T945" s="182"/>
      <c r="U945" s="182"/>
    </row>
    <row r="946" spans="20:21" ht="15.75" customHeight="1" x14ac:dyDescent="0.4">
      <c r="T946" s="182"/>
      <c r="U946" s="182"/>
    </row>
    <row r="947" spans="20:21" ht="15.75" customHeight="1" x14ac:dyDescent="0.4">
      <c r="T947" s="182"/>
      <c r="U947" s="182"/>
    </row>
    <row r="948" spans="20:21" ht="15.75" customHeight="1" x14ac:dyDescent="0.4">
      <c r="T948" s="182"/>
      <c r="U948" s="182"/>
    </row>
    <row r="949" spans="20:21" ht="15.75" customHeight="1" x14ac:dyDescent="0.4">
      <c r="T949" s="182"/>
      <c r="U949" s="182"/>
    </row>
    <row r="950" spans="20:21" ht="15.75" customHeight="1" x14ac:dyDescent="0.4">
      <c r="T950" s="182"/>
      <c r="U950" s="182"/>
    </row>
    <row r="951" spans="20:21" ht="15.75" customHeight="1" x14ac:dyDescent="0.4">
      <c r="T951" s="182"/>
      <c r="U951" s="182"/>
    </row>
    <row r="952" spans="20:21" ht="15.75" customHeight="1" x14ac:dyDescent="0.4">
      <c r="T952" s="182"/>
      <c r="U952" s="182"/>
    </row>
    <row r="953" spans="20:21" ht="15.75" customHeight="1" x14ac:dyDescent="0.4">
      <c r="T953" s="182"/>
      <c r="U953" s="182"/>
    </row>
    <row r="954" spans="20:21" ht="15.75" customHeight="1" x14ac:dyDescent="0.4">
      <c r="T954" s="182"/>
      <c r="U954" s="182"/>
    </row>
    <row r="955" spans="20:21" ht="15.75" customHeight="1" x14ac:dyDescent="0.4">
      <c r="T955" s="182"/>
      <c r="U955" s="182"/>
    </row>
    <row r="956" spans="20:21" ht="15.75" customHeight="1" x14ac:dyDescent="0.4">
      <c r="T956" s="182"/>
      <c r="U956" s="182"/>
    </row>
    <row r="957" spans="20:21" ht="15.75" customHeight="1" x14ac:dyDescent="0.4">
      <c r="T957" s="182"/>
      <c r="U957" s="182"/>
    </row>
    <row r="958" spans="20:21" ht="15.75" customHeight="1" x14ac:dyDescent="0.4">
      <c r="T958" s="182"/>
      <c r="U958" s="182"/>
    </row>
    <row r="959" spans="20:21" ht="15.75" customHeight="1" x14ac:dyDescent="0.4">
      <c r="T959" s="182"/>
      <c r="U959" s="182"/>
    </row>
    <row r="960" spans="20:21" ht="15.75" customHeight="1" x14ac:dyDescent="0.4">
      <c r="T960" s="182"/>
      <c r="U960" s="182"/>
    </row>
    <row r="961" spans="20:21" ht="15.75" customHeight="1" x14ac:dyDescent="0.4">
      <c r="T961" s="182"/>
      <c r="U961" s="182"/>
    </row>
    <row r="962" spans="20:21" ht="15.75" customHeight="1" x14ac:dyDescent="0.4">
      <c r="T962" s="182"/>
      <c r="U962" s="182"/>
    </row>
    <row r="963" spans="20:21" ht="15.75" customHeight="1" x14ac:dyDescent="0.4">
      <c r="T963" s="182"/>
      <c r="U963" s="182"/>
    </row>
    <row r="964" spans="20:21" ht="15.75" customHeight="1" x14ac:dyDescent="0.4">
      <c r="T964" s="182"/>
      <c r="U964" s="182"/>
    </row>
    <row r="965" spans="20:21" ht="15.75" customHeight="1" x14ac:dyDescent="0.4">
      <c r="T965" s="182"/>
      <c r="U965" s="182"/>
    </row>
    <row r="966" spans="20:21" ht="15.75" customHeight="1" x14ac:dyDescent="0.4">
      <c r="T966" s="182"/>
      <c r="U966" s="182"/>
    </row>
    <row r="967" spans="20:21" ht="15.75" customHeight="1" x14ac:dyDescent="0.4">
      <c r="T967" s="182"/>
      <c r="U967" s="182"/>
    </row>
    <row r="968" spans="20:21" ht="15.75" customHeight="1" x14ac:dyDescent="0.4">
      <c r="T968" s="182"/>
      <c r="U968" s="182"/>
    </row>
    <row r="969" spans="20:21" ht="15.75" customHeight="1" x14ac:dyDescent="0.4">
      <c r="T969" s="182"/>
      <c r="U969" s="182"/>
    </row>
    <row r="970" spans="20:21" ht="15.75" customHeight="1" x14ac:dyDescent="0.4">
      <c r="T970" s="182"/>
      <c r="U970" s="182"/>
    </row>
    <row r="971" spans="20:21" ht="15.75" customHeight="1" x14ac:dyDescent="0.4">
      <c r="T971" s="182"/>
      <c r="U971" s="182"/>
    </row>
    <row r="972" spans="20:21" ht="15.75" customHeight="1" x14ac:dyDescent="0.4">
      <c r="T972" s="182"/>
      <c r="U972" s="182"/>
    </row>
    <row r="973" spans="20:21" ht="15.75" customHeight="1" x14ac:dyDescent="0.4">
      <c r="T973" s="182"/>
      <c r="U973" s="182"/>
    </row>
    <row r="974" spans="20:21" ht="15.75" customHeight="1" x14ac:dyDescent="0.4">
      <c r="T974" s="182"/>
      <c r="U974" s="182"/>
    </row>
    <row r="975" spans="20:21" ht="15.75" customHeight="1" x14ac:dyDescent="0.4">
      <c r="T975" s="182"/>
      <c r="U975" s="182"/>
    </row>
    <row r="976" spans="20:21" ht="15.75" customHeight="1" x14ac:dyDescent="0.4">
      <c r="T976" s="182"/>
      <c r="U976" s="182"/>
    </row>
    <row r="977" spans="20:21" ht="15.75" customHeight="1" x14ac:dyDescent="0.4">
      <c r="T977" s="182"/>
      <c r="U977" s="182"/>
    </row>
    <row r="978" spans="20:21" ht="15.75" customHeight="1" x14ac:dyDescent="0.4">
      <c r="T978" s="182"/>
      <c r="U978" s="182"/>
    </row>
    <row r="979" spans="20:21" ht="15.75" customHeight="1" x14ac:dyDescent="0.4">
      <c r="T979" s="182"/>
      <c r="U979" s="182"/>
    </row>
    <row r="980" spans="20:21" ht="15.75" customHeight="1" x14ac:dyDescent="0.4">
      <c r="T980" s="182"/>
      <c r="U980" s="182"/>
    </row>
    <row r="981" spans="20:21" ht="15.75" customHeight="1" x14ac:dyDescent="0.4">
      <c r="T981" s="182"/>
      <c r="U981" s="182"/>
    </row>
    <row r="982" spans="20:21" ht="15.75" customHeight="1" x14ac:dyDescent="0.4">
      <c r="T982" s="182"/>
      <c r="U982" s="182"/>
    </row>
    <row r="983" spans="20:21" ht="15.75" customHeight="1" x14ac:dyDescent="0.4">
      <c r="T983" s="182"/>
      <c r="U983" s="182"/>
    </row>
    <row r="984" spans="20:21" ht="15.75" customHeight="1" x14ac:dyDescent="0.4">
      <c r="T984" s="182"/>
      <c r="U984" s="182"/>
    </row>
    <row r="985" spans="20:21" ht="15.75" customHeight="1" x14ac:dyDescent="0.4">
      <c r="T985" s="182"/>
      <c r="U985" s="182"/>
    </row>
    <row r="986" spans="20:21" ht="15.75" customHeight="1" x14ac:dyDescent="0.4">
      <c r="T986" s="182"/>
      <c r="U986" s="182"/>
    </row>
    <row r="987" spans="20:21" ht="15.75" customHeight="1" x14ac:dyDescent="0.4">
      <c r="T987" s="182"/>
      <c r="U987" s="182"/>
    </row>
    <row r="988" spans="20:21" ht="15.75" customHeight="1" x14ac:dyDescent="0.4">
      <c r="T988" s="182"/>
      <c r="U988" s="182"/>
    </row>
    <row r="989" spans="20:21" ht="15.75" customHeight="1" x14ac:dyDescent="0.4">
      <c r="T989" s="182"/>
      <c r="U989" s="182"/>
    </row>
    <row r="990" spans="20:21" ht="15.75" customHeight="1" x14ac:dyDescent="0.4">
      <c r="T990" s="182"/>
      <c r="U990" s="182"/>
    </row>
    <row r="991" spans="20:21" ht="15.75" customHeight="1" x14ac:dyDescent="0.4">
      <c r="T991" s="182"/>
      <c r="U991" s="182"/>
    </row>
    <row r="992" spans="20:21" ht="15.75" customHeight="1" x14ac:dyDescent="0.4">
      <c r="T992" s="182"/>
      <c r="U992" s="182"/>
    </row>
    <row r="993" spans="20:21" ht="15.75" customHeight="1" x14ac:dyDescent="0.4">
      <c r="T993" s="182"/>
      <c r="U993" s="182"/>
    </row>
    <row r="994" spans="20:21" ht="15.75" customHeight="1" x14ac:dyDescent="0.4">
      <c r="T994" s="182"/>
      <c r="U994" s="182"/>
    </row>
    <row r="995" spans="20:21" ht="15.75" customHeight="1" x14ac:dyDescent="0.4">
      <c r="T995" s="182"/>
      <c r="U995" s="182"/>
    </row>
    <row r="996" spans="20:21" ht="15.75" customHeight="1" x14ac:dyDescent="0.4">
      <c r="T996" s="182"/>
      <c r="U996" s="182"/>
    </row>
    <row r="997" spans="20:21" ht="15.75" customHeight="1" x14ac:dyDescent="0.4">
      <c r="T997" s="182"/>
      <c r="U997" s="182"/>
    </row>
    <row r="998" spans="20:21" ht="15.75" customHeight="1" x14ac:dyDescent="0.4">
      <c r="T998" s="182"/>
      <c r="U998" s="182"/>
    </row>
    <row r="999" spans="20:21" ht="15.75" customHeight="1" x14ac:dyDescent="0.4">
      <c r="T999" s="182"/>
      <c r="U999" s="182"/>
    </row>
    <row r="1000" spans="20:21" ht="15.75" customHeight="1" x14ac:dyDescent="0.4">
      <c r="T1000" s="182"/>
      <c r="U1000" s="182"/>
    </row>
  </sheetData>
  <autoFilter ref="C7:R315" xr:uid="{00000000-0009-0000-0000-000005000000}"/>
  <mergeCells count="4">
    <mergeCell ref="C1:R1"/>
    <mergeCell ref="C2:R2"/>
    <mergeCell ref="F4:O4"/>
    <mergeCell ref="P4:R4"/>
  </mergeCells>
  <pageMargins left="0.25" right="0.25" top="0.75" bottom="0.75" header="0" footer="0"/>
  <pageSetup scale="95" orientation="portrait" r:id="rId1"/>
  <rowBreaks count="6" manualBreakCount="6">
    <brk id="58" max="17" man="1"/>
    <brk id="110" max="17" man="1"/>
    <brk id="162" max="17" man="1"/>
    <brk id="213" max="17" man="1"/>
    <brk id="264" max="17" man="1"/>
    <brk id="3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54"/>
  <sheetViews>
    <sheetView showGridLines="0" topLeftCell="C1" zoomScaleNormal="100" zoomScaleSheetLayoutView="46" workbookViewId="0">
      <pane ySplit="6" topLeftCell="A1789" activePane="bottomLeft" state="frozen"/>
      <selection pane="bottomLeft" activeCell="C5" sqref="C5"/>
    </sheetView>
  </sheetViews>
  <sheetFormatPr defaultColWidth="14.453125" defaultRowHeight="15" customHeight="1" x14ac:dyDescent="0.4"/>
  <cols>
    <col min="1" max="1" width="0.1796875" hidden="1" customWidth="1"/>
    <col min="2" max="2" width="14.453125" hidden="1"/>
    <col min="3" max="3" width="9.453125" customWidth="1"/>
    <col min="4" max="4" width="25.1796875" customWidth="1"/>
    <col min="5" max="5" width="7" customWidth="1"/>
    <col min="6" max="6" width="5.453125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customWidth="1"/>
    <col min="21" max="21" width="7.81640625" customWidth="1"/>
  </cols>
  <sheetData>
    <row r="1" spans="1:21" ht="14.5" x14ac:dyDescent="0.4">
      <c r="A1" s="1"/>
      <c r="B1" s="1"/>
      <c r="C1" s="532" t="str">
        <f>'University-wide'!A1</f>
        <v>University of California, San Diego Survey of Parking Space Occupancy Levels, Spring 2022</v>
      </c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1"/>
      <c r="T1" s="1"/>
      <c r="U1" s="1"/>
    </row>
    <row r="2" spans="1:21" ht="14.5" x14ac:dyDescent="0.4">
      <c r="A2" s="1"/>
      <c r="B2" s="1"/>
      <c r="C2" s="532" t="s">
        <v>393</v>
      </c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1"/>
      <c r="T2" s="1"/>
      <c r="U2" s="1"/>
    </row>
    <row r="3" spans="1:21" ht="9" hidden="1" customHeight="1" x14ac:dyDescent="0.4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"/>
      <c r="T3" s="1"/>
      <c r="U3" s="1"/>
    </row>
    <row r="4" spans="1:21" ht="10.5" customHeight="1" x14ac:dyDescent="0.4">
      <c r="A4" s="1"/>
      <c r="B4" s="1"/>
      <c r="C4" s="42" t="s">
        <v>45</v>
      </c>
      <c r="D4" s="42" t="s">
        <v>280</v>
      </c>
      <c r="E4" s="42" t="s">
        <v>280</v>
      </c>
      <c r="F4" s="516" t="s">
        <v>281</v>
      </c>
      <c r="G4" s="517"/>
      <c r="H4" s="517"/>
      <c r="I4" s="517"/>
      <c r="J4" s="517"/>
      <c r="K4" s="517"/>
      <c r="L4" s="517"/>
      <c r="M4" s="517"/>
      <c r="N4" s="517"/>
      <c r="O4" s="518"/>
      <c r="P4" s="516" t="s">
        <v>282</v>
      </c>
      <c r="Q4" s="517"/>
      <c r="R4" s="518"/>
      <c r="S4" s="1"/>
      <c r="T4" s="1"/>
      <c r="U4" s="1"/>
    </row>
    <row r="5" spans="1:21" ht="9.75" customHeight="1" x14ac:dyDescent="0.4">
      <c r="A5" s="1"/>
      <c r="B5" s="1"/>
      <c r="C5" s="43"/>
      <c r="D5" s="43" t="s">
        <v>283</v>
      </c>
      <c r="E5" s="43" t="s">
        <v>284</v>
      </c>
      <c r="F5" s="44" t="s">
        <v>285</v>
      </c>
      <c r="G5" s="45" t="s">
        <v>286</v>
      </c>
      <c r="H5" s="45" t="s">
        <v>287</v>
      </c>
      <c r="I5" s="45" t="s">
        <v>288</v>
      </c>
      <c r="J5" s="45" t="s">
        <v>289</v>
      </c>
      <c r="K5" s="45" t="s">
        <v>290</v>
      </c>
      <c r="L5" s="45" t="s">
        <v>291</v>
      </c>
      <c r="M5" s="45" t="s">
        <v>292</v>
      </c>
      <c r="N5" s="45" t="s">
        <v>293</v>
      </c>
      <c r="O5" s="46" t="s">
        <v>294</v>
      </c>
      <c r="P5" s="47" t="s">
        <v>295</v>
      </c>
      <c r="Q5" s="48" t="s">
        <v>296</v>
      </c>
      <c r="R5" s="49" t="s">
        <v>297</v>
      </c>
      <c r="S5" s="1"/>
      <c r="T5" s="1"/>
      <c r="U5" s="1"/>
    </row>
    <row r="6" spans="1:21" ht="9.75" customHeight="1" x14ac:dyDescent="0.4">
      <c r="A6" s="1"/>
      <c r="B6" s="1" t="s">
        <v>394</v>
      </c>
      <c r="C6" s="50"/>
      <c r="D6" s="50"/>
      <c r="E6" s="50"/>
      <c r="F6" s="51" t="s">
        <v>298</v>
      </c>
      <c r="G6" s="52" t="s">
        <v>298</v>
      </c>
      <c r="H6" s="52" t="s">
        <v>298</v>
      </c>
      <c r="I6" s="52" t="s">
        <v>298</v>
      </c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3" t="s">
        <v>299</v>
      </c>
      <c r="P6" s="51" t="s">
        <v>284</v>
      </c>
      <c r="Q6" s="52" t="s">
        <v>284</v>
      </c>
      <c r="R6" s="53" t="s">
        <v>296</v>
      </c>
      <c r="S6" s="1"/>
      <c r="T6" s="1"/>
      <c r="U6" s="1"/>
    </row>
    <row r="7" spans="1:21" ht="14.5" hidden="1" x14ac:dyDescent="0.4">
      <c r="A7" s="1"/>
      <c r="B7" s="1"/>
      <c r="C7" s="185" t="s">
        <v>45</v>
      </c>
      <c r="D7" s="185" t="s">
        <v>356</v>
      </c>
      <c r="E7" s="185" t="s">
        <v>357</v>
      </c>
      <c r="F7" s="44" t="s">
        <v>358</v>
      </c>
      <c r="G7" s="45" t="s">
        <v>359</v>
      </c>
      <c r="H7" s="45" t="s">
        <v>360</v>
      </c>
      <c r="I7" s="45" t="s">
        <v>361</v>
      </c>
      <c r="J7" s="45" t="s">
        <v>362</v>
      </c>
      <c r="K7" s="45" t="s">
        <v>363</v>
      </c>
      <c r="L7" s="45" t="s">
        <v>364</v>
      </c>
      <c r="M7" s="45" t="s">
        <v>365</v>
      </c>
      <c r="N7" s="45" t="s">
        <v>366</v>
      </c>
      <c r="O7" s="46" t="s">
        <v>367</v>
      </c>
      <c r="P7" s="44" t="s">
        <v>295</v>
      </c>
      <c r="Q7" s="45" t="s">
        <v>296</v>
      </c>
      <c r="R7" s="46" t="s">
        <v>368</v>
      </c>
      <c r="S7" s="1"/>
      <c r="T7" s="1"/>
      <c r="U7" s="1"/>
    </row>
    <row r="8" spans="1:21" ht="10.5" customHeight="1" x14ac:dyDescent="0.4">
      <c r="A8" s="1"/>
      <c r="B8" s="1"/>
      <c r="C8" s="15" t="s">
        <v>51</v>
      </c>
      <c r="D8" s="15" t="s">
        <v>300</v>
      </c>
      <c r="E8" s="15"/>
      <c r="F8" s="73"/>
      <c r="G8" s="108"/>
      <c r="H8" s="108"/>
      <c r="I8" s="108"/>
      <c r="J8" s="108"/>
      <c r="K8" s="108"/>
      <c r="L8" s="108"/>
      <c r="M8" s="108"/>
      <c r="N8" s="108"/>
      <c r="O8" s="109"/>
      <c r="P8" s="73"/>
      <c r="Q8" s="108"/>
      <c r="R8" s="188"/>
      <c r="S8" s="1"/>
      <c r="T8" s="1"/>
      <c r="U8" s="1"/>
    </row>
    <row r="9" spans="1:21" ht="9.75" customHeight="1" x14ac:dyDescent="0.4">
      <c r="A9" s="1"/>
      <c r="B9" s="1"/>
      <c r="C9" s="17"/>
      <c r="D9" s="17" t="s">
        <v>301</v>
      </c>
      <c r="E9" s="17"/>
      <c r="F9" s="32"/>
      <c r="G9" s="6"/>
      <c r="H9" s="6"/>
      <c r="I9" s="6"/>
      <c r="J9" s="6"/>
      <c r="K9" s="6"/>
      <c r="L9" s="6"/>
      <c r="M9" s="6"/>
      <c r="N9" s="6"/>
      <c r="O9" s="31"/>
      <c r="P9" s="32"/>
      <c r="Q9" s="6"/>
      <c r="R9" s="59"/>
      <c r="S9" s="1"/>
      <c r="T9" s="1"/>
      <c r="U9" s="1"/>
    </row>
    <row r="10" spans="1:21" ht="9.75" customHeight="1" x14ac:dyDescent="0.4">
      <c r="A10" s="1"/>
      <c r="B10" s="1"/>
      <c r="C10" s="17"/>
      <c r="D10" s="17" t="s">
        <v>303</v>
      </c>
      <c r="E10" s="17"/>
      <c r="F10" s="32"/>
      <c r="G10" s="6"/>
      <c r="H10" s="6"/>
      <c r="I10" s="6"/>
      <c r="J10" s="6"/>
      <c r="K10" s="6"/>
      <c r="L10" s="6"/>
      <c r="M10" s="6"/>
      <c r="N10" s="6"/>
      <c r="O10" s="31"/>
      <c r="P10" s="32"/>
      <c r="Q10" s="6"/>
      <c r="R10" s="59"/>
      <c r="S10" s="1"/>
      <c r="T10" s="1"/>
      <c r="U10" s="1"/>
    </row>
    <row r="11" spans="1:21" ht="9.75" customHeight="1" x14ac:dyDescent="0.4">
      <c r="A11" s="1"/>
      <c r="B11" s="1"/>
      <c r="C11" s="17"/>
      <c r="D11" s="17" t="s">
        <v>369</v>
      </c>
      <c r="E11" s="17"/>
      <c r="F11" s="32"/>
      <c r="G11" s="6"/>
      <c r="H11" s="6"/>
      <c r="I11" s="6"/>
      <c r="J11" s="6"/>
      <c r="K11" s="6"/>
      <c r="L11" s="6"/>
      <c r="M11" s="6"/>
      <c r="N11" s="6"/>
      <c r="O11" s="31"/>
      <c r="P11" s="32"/>
      <c r="Q11" s="6"/>
      <c r="R11" s="59"/>
      <c r="S11" s="1"/>
      <c r="T11" s="1"/>
      <c r="U11" s="1"/>
    </row>
    <row r="12" spans="1:21" ht="9.75" customHeight="1" x14ac:dyDescent="0.4">
      <c r="A12" s="1"/>
      <c r="B12" s="1"/>
      <c r="C12" s="220"/>
      <c r="D12" s="17" t="s">
        <v>369</v>
      </c>
      <c r="E12" s="17"/>
      <c r="F12" s="32"/>
      <c r="G12" s="6"/>
      <c r="H12" s="6"/>
      <c r="I12" s="6"/>
      <c r="J12" s="6"/>
      <c r="K12" s="6"/>
      <c r="L12" s="6"/>
      <c r="M12" s="6"/>
      <c r="N12" s="6"/>
      <c r="O12" s="31"/>
      <c r="P12" s="32"/>
      <c r="Q12" s="6"/>
      <c r="R12" s="59"/>
      <c r="S12" s="1"/>
      <c r="T12" s="1"/>
      <c r="U12" s="1"/>
    </row>
    <row r="13" spans="1:21" ht="9.75" customHeight="1" x14ac:dyDescent="0.4">
      <c r="A13" s="1"/>
      <c r="B13" s="1"/>
      <c r="C13" s="220"/>
      <c r="D13" s="17" t="s">
        <v>308</v>
      </c>
      <c r="E13" s="17">
        <v>1</v>
      </c>
      <c r="F13" s="32">
        <v>0</v>
      </c>
      <c r="G13" s="6">
        <v>0</v>
      </c>
      <c r="H13" s="6">
        <v>0</v>
      </c>
      <c r="I13" s="6">
        <v>0</v>
      </c>
      <c r="J13" s="6">
        <v>0</v>
      </c>
      <c r="K13" s="74">
        <v>0</v>
      </c>
      <c r="L13" s="74">
        <v>1</v>
      </c>
      <c r="M13" s="74">
        <v>1</v>
      </c>
      <c r="N13" s="74">
        <v>0</v>
      </c>
      <c r="O13" s="123">
        <v>1</v>
      </c>
      <c r="P13" s="32">
        <f>MIN(F13:O13)</f>
        <v>0</v>
      </c>
      <c r="Q13" s="6">
        <f>E13-P13</f>
        <v>1</v>
      </c>
      <c r="R13" s="59">
        <f>Q13/E13</f>
        <v>1</v>
      </c>
      <c r="S13" s="1"/>
      <c r="T13" s="1"/>
      <c r="U13" s="1"/>
    </row>
    <row r="14" spans="1:21" ht="9.75" customHeight="1" x14ac:dyDescent="0.4">
      <c r="A14" s="1"/>
      <c r="B14" s="1"/>
      <c r="C14" s="220"/>
      <c r="D14" s="17" t="s">
        <v>374</v>
      </c>
      <c r="E14" s="17"/>
      <c r="F14" s="32"/>
      <c r="G14" s="6"/>
      <c r="H14" s="6"/>
      <c r="I14" s="6"/>
      <c r="J14" s="6"/>
      <c r="K14" s="192"/>
      <c r="L14" s="192"/>
      <c r="M14" s="192"/>
      <c r="N14" s="192"/>
      <c r="O14" s="193"/>
      <c r="P14" s="32"/>
      <c r="Q14" s="6"/>
      <c r="R14" s="59"/>
      <c r="S14" s="1"/>
      <c r="T14" s="1"/>
      <c r="U14" s="1"/>
    </row>
    <row r="15" spans="1:21" ht="9.75" customHeight="1" x14ac:dyDescent="0.4">
      <c r="A15" s="1"/>
      <c r="B15" s="1"/>
      <c r="C15" s="220"/>
      <c r="D15" s="17" t="s">
        <v>374</v>
      </c>
      <c r="E15" s="17"/>
      <c r="F15" s="32"/>
      <c r="G15" s="6"/>
      <c r="H15" s="6"/>
      <c r="I15" s="6"/>
      <c r="J15" s="6"/>
      <c r="K15" s="192"/>
      <c r="L15" s="192"/>
      <c r="M15" s="192"/>
      <c r="N15" s="192"/>
      <c r="O15" s="193"/>
      <c r="P15" s="32"/>
      <c r="Q15" s="6"/>
      <c r="R15" s="59"/>
      <c r="S15" s="1"/>
      <c r="T15" s="1"/>
      <c r="U15" s="1"/>
    </row>
    <row r="16" spans="1:21" ht="9.75" customHeight="1" x14ac:dyDescent="0.4">
      <c r="A16" s="1"/>
      <c r="B16" s="1"/>
      <c r="C16" s="220"/>
      <c r="D16" s="17" t="s">
        <v>374</v>
      </c>
      <c r="E16" s="17"/>
      <c r="F16" s="32"/>
      <c r="G16" s="6"/>
      <c r="H16" s="6"/>
      <c r="I16" s="6"/>
      <c r="J16" s="6"/>
      <c r="K16" s="192"/>
      <c r="L16" s="192"/>
      <c r="M16" s="192"/>
      <c r="N16" s="192"/>
      <c r="O16" s="193"/>
      <c r="P16" s="32"/>
      <c r="Q16" s="6"/>
      <c r="R16" s="59"/>
      <c r="S16" s="1"/>
      <c r="T16" s="1"/>
      <c r="U16" s="1"/>
    </row>
    <row r="17" spans="1:21" ht="9.75" customHeight="1" x14ac:dyDescent="0.4">
      <c r="A17" s="1"/>
      <c r="B17" s="1"/>
      <c r="C17" s="220"/>
      <c r="D17" s="17" t="s">
        <v>374</v>
      </c>
      <c r="E17" s="17"/>
      <c r="F17" s="32"/>
      <c r="G17" s="6"/>
      <c r="H17" s="6"/>
      <c r="I17" s="6"/>
      <c r="J17" s="6"/>
      <c r="K17" s="192"/>
      <c r="L17" s="192"/>
      <c r="M17" s="192"/>
      <c r="N17" s="192"/>
      <c r="O17" s="193"/>
      <c r="P17" s="32"/>
      <c r="Q17" s="6"/>
      <c r="R17" s="59"/>
      <c r="S17" s="1"/>
      <c r="T17" s="1"/>
      <c r="U17" s="1"/>
    </row>
    <row r="18" spans="1:21" ht="9.75" customHeight="1" x14ac:dyDescent="0.4">
      <c r="A18" s="1"/>
      <c r="B18" s="1"/>
      <c r="C18" s="220"/>
      <c r="D18" s="17" t="s">
        <v>374</v>
      </c>
      <c r="E18" s="17"/>
      <c r="F18" s="32"/>
      <c r="G18" s="6"/>
      <c r="H18" s="6"/>
      <c r="I18" s="6"/>
      <c r="J18" s="6"/>
      <c r="K18" s="192"/>
      <c r="L18" s="192"/>
      <c r="M18" s="192"/>
      <c r="N18" s="192"/>
      <c r="O18" s="193"/>
      <c r="P18" s="32"/>
      <c r="Q18" s="6"/>
      <c r="R18" s="59"/>
      <c r="S18" s="1"/>
      <c r="T18" s="1"/>
      <c r="U18" s="1"/>
    </row>
    <row r="19" spans="1:21" ht="9.75" customHeight="1" x14ac:dyDescent="0.4">
      <c r="A19" s="1"/>
      <c r="B19" s="1"/>
      <c r="C19" s="220"/>
      <c r="D19" s="17" t="s">
        <v>374</v>
      </c>
      <c r="E19" s="17"/>
      <c r="F19" s="32"/>
      <c r="G19" s="6"/>
      <c r="H19" s="6"/>
      <c r="I19" s="6"/>
      <c r="J19" s="6"/>
      <c r="K19" s="192"/>
      <c r="L19" s="192"/>
      <c r="M19" s="192"/>
      <c r="N19" s="192"/>
      <c r="O19" s="193"/>
      <c r="P19" s="32"/>
      <c r="Q19" s="6"/>
      <c r="R19" s="59"/>
      <c r="S19" s="1"/>
      <c r="T19" s="1"/>
      <c r="U19" s="1"/>
    </row>
    <row r="20" spans="1:21" ht="9.75" customHeight="1" x14ac:dyDescent="0.4">
      <c r="A20" s="1"/>
      <c r="B20" s="1"/>
      <c r="C20" s="220"/>
      <c r="D20" s="17" t="s">
        <v>310</v>
      </c>
      <c r="E20" s="17">
        <v>12</v>
      </c>
      <c r="F20" s="32">
        <v>1</v>
      </c>
      <c r="G20" s="6">
        <v>2</v>
      </c>
      <c r="H20" s="6">
        <v>0</v>
      </c>
      <c r="I20" s="6">
        <v>0</v>
      </c>
      <c r="J20" s="6">
        <v>0</v>
      </c>
      <c r="K20" s="74">
        <v>0</v>
      </c>
      <c r="L20" s="74">
        <v>2</v>
      </c>
      <c r="M20" s="74">
        <v>4</v>
      </c>
      <c r="N20" s="74">
        <v>6</v>
      </c>
      <c r="O20" s="123">
        <v>7</v>
      </c>
      <c r="P20" s="32">
        <f>MIN(F20:O20)</f>
        <v>0</v>
      </c>
      <c r="Q20" s="6">
        <f>E20-P20</f>
        <v>12</v>
      </c>
      <c r="R20" s="59">
        <f>Q20/E20</f>
        <v>1</v>
      </c>
      <c r="S20" s="1"/>
      <c r="T20" s="1"/>
      <c r="U20" s="1"/>
    </row>
    <row r="21" spans="1:21" ht="9.75" customHeight="1" x14ac:dyDescent="0.4">
      <c r="A21" s="1"/>
      <c r="B21" s="1"/>
      <c r="C21" s="220"/>
      <c r="D21" s="17" t="s">
        <v>311</v>
      </c>
      <c r="E21" s="17"/>
      <c r="F21" s="32"/>
      <c r="G21" s="6"/>
      <c r="H21" s="6"/>
      <c r="I21" s="6"/>
      <c r="J21" s="6"/>
      <c r="K21" s="6"/>
      <c r="L21" s="6"/>
      <c r="M21" s="6"/>
      <c r="N21" s="6"/>
      <c r="O21" s="31"/>
      <c r="P21" s="32"/>
      <c r="Q21" s="6"/>
      <c r="R21" s="59"/>
      <c r="S21" s="1"/>
      <c r="T21" s="1"/>
      <c r="U21" s="1"/>
    </row>
    <row r="22" spans="1:21" ht="9.75" customHeight="1" x14ac:dyDescent="0.4">
      <c r="A22" s="1"/>
      <c r="B22" s="1"/>
      <c r="C22" s="220"/>
      <c r="D22" s="17" t="s">
        <v>312</v>
      </c>
      <c r="E22" s="17"/>
      <c r="F22" s="32"/>
      <c r="G22" s="6"/>
      <c r="H22" s="6"/>
      <c r="I22" s="6"/>
      <c r="J22" s="6"/>
      <c r="K22" s="6"/>
      <c r="L22" s="6"/>
      <c r="M22" s="6"/>
      <c r="N22" s="6"/>
      <c r="O22" s="31"/>
      <c r="P22" s="32"/>
      <c r="Q22" s="6"/>
      <c r="R22" s="59"/>
      <c r="S22" s="1"/>
      <c r="T22" s="1"/>
      <c r="U22" s="1"/>
    </row>
    <row r="23" spans="1:21" ht="9.75" customHeight="1" x14ac:dyDescent="0.4">
      <c r="A23" s="1"/>
      <c r="B23" s="1"/>
      <c r="C23" s="220"/>
      <c r="D23" s="17" t="s">
        <v>313</v>
      </c>
      <c r="E23" s="17"/>
      <c r="F23" s="32"/>
      <c r="G23" s="6"/>
      <c r="H23" s="6"/>
      <c r="I23" s="6"/>
      <c r="J23" s="6"/>
      <c r="K23" s="6"/>
      <c r="L23" s="6"/>
      <c r="M23" s="6"/>
      <c r="N23" s="6"/>
      <c r="O23" s="31"/>
      <c r="P23" s="32"/>
      <c r="Q23" s="6"/>
      <c r="R23" s="59"/>
      <c r="S23" s="1"/>
      <c r="T23" s="1"/>
      <c r="U23" s="1"/>
    </row>
    <row r="24" spans="1:21" ht="9.75" customHeight="1" x14ac:dyDescent="0.4">
      <c r="A24" s="1"/>
      <c r="B24" s="1" t="s">
        <v>395</v>
      </c>
      <c r="C24" s="221"/>
      <c r="D24" s="65" t="s">
        <v>314</v>
      </c>
      <c r="E24" s="65">
        <f t="shared" ref="E24:O24" si="0">SUM(E8:E23)</f>
        <v>13</v>
      </c>
      <c r="F24" s="104">
        <f t="shared" si="0"/>
        <v>1</v>
      </c>
      <c r="G24" s="128">
        <f t="shared" si="0"/>
        <v>2</v>
      </c>
      <c r="H24" s="128">
        <f t="shared" si="0"/>
        <v>0</v>
      </c>
      <c r="I24" s="128">
        <f t="shared" si="0"/>
        <v>0</v>
      </c>
      <c r="J24" s="128">
        <f t="shared" si="0"/>
        <v>0</v>
      </c>
      <c r="K24" s="128">
        <f t="shared" si="0"/>
        <v>0</v>
      </c>
      <c r="L24" s="128">
        <f t="shared" si="0"/>
        <v>3</v>
      </c>
      <c r="M24" s="128">
        <f t="shared" si="0"/>
        <v>5</v>
      </c>
      <c r="N24" s="128">
        <f t="shared" si="0"/>
        <v>6</v>
      </c>
      <c r="O24" s="129">
        <f t="shared" si="0"/>
        <v>8</v>
      </c>
      <c r="P24" s="104">
        <f>MIN(F24:O24)</f>
        <v>0</v>
      </c>
      <c r="Q24" s="128">
        <f>E24-P24</f>
        <v>13</v>
      </c>
      <c r="R24" s="72">
        <f>Q24/E24</f>
        <v>1</v>
      </c>
      <c r="S24" s="1"/>
      <c r="T24" s="1"/>
      <c r="U24" s="1"/>
    </row>
    <row r="25" spans="1:21" ht="9.75" customHeight="1" x14ac:dyDescent="0.4">
      <c r="A25" s="1"/>
      <c r="B25" s="1"/>
      <c r="C25" s="19" t="s">
        <v>72</v>
      </c>
      <c r="D25" s="19" t="s">
        <v>300</v>
      </c>
      <c r="E25" s="19"/>
      <c r="F25" s="133"/>
      <c r="G25" s="222"/>
      <c r="H25" s="222"/>
      <c r="I25" s="222"/>
      <c r="J25" s="222"/>
      <c r="K25" s="222"/>
      <c r="L25" s="222"/>
      <c r="M25" s="222"/>
      <c r="N25" s="222"/>
      <c r="O25" s="223"/>
      <c r="P25" s="133"/>
      <c r="Q25" s="222"/>
      <c r="R25" s="224"/>
      <c r="S25" s="1"/>
      <c r="T25" s="1"/>
      <c r="U25" s="1"/>
    </row>
    <row r="26" spans="1:21" ht="9.75" customHeight="1" x14ac:dyDescent="0.4">
      <c r="A26" s="1"/>
      <c r="B26" s="1"/>
      <c r="C26" s="24" t="s">
        <v>396</v>
      </c>
      <c r="D26" s="24" t="s">
        <v>301</v>
      </c>
      <c r="E26" s="24"/>
      <c r="F26" s="134"/>
      <c r="G26" s="135"/>
      <c r="H26" s="135"/>
      <c r="I26" s="135"/>
      <c r="J26" s="135"/>
      <c r="K26" s="225"/>
      <c r="L26" s="225"/>
      <c r="M26" s="225"/>
      <c r="N26" s="225"/>
      <c r="O26" s="226"/>
      <c r="P26" s="134"/>
      <c r="Q26" s="135"/>
      <c r="R26" s="137"/>
      <c r="S26" s="1"/>
      <c r="T26" s="1"/>
      <c r="U26" s="1"/>
    </row>
    <row r="27" spans="1:21" ht="9.75" customHeight="1" x14ac:dyDescent="0.4">
      <c r="A27" s="1"/>
      <c r="B27" s="1"/>
      <c r="C27" s="24" t="s">
        <v>330</v>
      </c>
      <c r="D27" s="24" t="s">
        <v>303</v>
      </c>
      <c r="E27" s="24"/>
      <c r="F27" s="134"/>
      <c r="G27" s="135"/>
      <c r="H27" s="135"/>
      <c r="I27" s="135"/>
      <c r="J27" s="135"/>
      <c r="K27" s="225"/>
      <c r="L27" s="225"/>
      <c r="M27" s="225"/>
      <c r="N27" s="225"/>
      <c r="O27" s="226"/>
      <c r="P27" s="134"/>
      <c r="Q27" s="135"/>
      <c r="R27" s="137"/>
      <c r="S27" s="1"/>
      <c r="T27" s="1"/>
      <c r="U27" s="1"/>
    </row>
    <row r="28" spans="1:21" ht="9.75" customHeight="1" x14ac:dyDescent="0.4">
      <c r="A28" s="1"/>
      <c r="B28" s="1"/>
      <c r="C28" s="24" t="s">
        <v>397</v>
      </c>
      <c r="D28" s="24" t="s">
        <v>369</v>
      </c>
      <c r="E28" s="24"/>
      <c r="F28" s="134"/>
      <c r="G28" s="135"/>
      <c r="H28" s="135"/>
      <c r="I28" s="135"/>
      <c r="J28" s="135"/>
      <c r="K28" s="225"/>
      <c r="L28" s="225"/>
      <c r="M28" s="225"/>
      <c r="N28" s="225"/>
      <c r="O28" s="226"/>
      <c r="P28" s="134"/>
      <c r="Q28" s="135"/>
      <c r="R28" s="137"/>
      <c r="S28" s="1"/>
      <c r="T28" s="1"/>
      <c r="U28" s="1"/>
    </row>
    <row r="29" spans="1:21" ht="9.75" customHeight="1" x14ac:dyDescent="0.4">
      <c r="A29" s="1"/>
      <c r="B29" s="1"/>
      <c r="C29" s="24" t="s">
        <v>332</v>
      </c>
      <c r="D29" s="24" t="s">
        <v>369</v>
      </c>
      <c r="E29" s="24"/>
      <c r="F29" s="134"/>
      <c r="G29" s="135"/>
      <c r="H29" s="135"/>
      <c r="I29" s="135"/>
      <c r="J29" s="135"/>
      <c r="K29" s="227"/>
      <c r="L29" s="227"/>
      <c r="M29" s="227"/>
      <c r="N29" s="227"/>
      <c r="O29" s="228"/>
      <c r="P29" s="134"/>
      <c r="Q29" s="135"/>
      <c r="R29" s="137"/>
      <c r="S29" s="1"/>
      <c r="T29" s="1"/>
      <c r="U29" s="1"/>
    </row>
    <row r="30" spans="1:21" ht="9.75" customHeight="1" x14ac:dyDescent="0.4">
      <c r="A30" s="1"/>
      <c r="B30" s="1"/>
      <c r="C30" s="24"/>
      <c r="D30" s="24" t="s">
        <v>308</v>
      </c>
      <c r="E30" s="24"/>
      <c r="F30" s="134"/>
      <c r="G30" s="135"/>
      <c r="H30" s="135"/>
      <c r="I30" s="135"/>
      <c r="J30" s="135"/>
      <c r="K30" s="227"/>
      <c r="L30" s="227"/>
      <c r="M30" s="227"/>
      <c r="N30" s="227"/>
      <c r="O30" s="228"/>
      <c r="P30" s="134"/>
      <c r="Q30" s="135"/>
      <c r="R30" s="137"/>
      <c r="S30" s="1"/>
      <c r="T30" s="1"/>
      <c r="U30" s="1"/>
    </row>
    <row r="31" spans="1:21" ht="9.75" customHeight="1" x14ac:dyDescent="0.4">
      <c r="A31" s="1"/>
      <c r="B31" s="1"/>
      <c r="C31" s="24"/>
      <c r="D31" s="24" t="s">
        <v>398</v>
      </c>
      <c r="E31" s="24"/>
      <c r="F31" s="134"/>
      <c r="G31" s="135"/>
      <c r="H31" s="135"/>
      <c r="I31" s="135"/>
      <c r="J31" s="135"/>
      <c r="K31" s="225"/>
      <c r="L31" s="225"/>
      <c r="M31" s="225"/>
      <c r="N31" s="225"/>
      <c r="O31" s="226"/>
      <c r="P31" s="134"/>
      <c r="Q31" s="135"/>
      <c r="R31" s="137"/>
      <c r="S31" s="1"/>
      <c r="T31" s="1"/>
      <c r="U31" s="1"/>
    </row>
    <row r="32" spans="1:21" ht="9.75" customHeight="1" x14ac:dyDescent="0.4">
      <c r="A32" s="1"/>
      <c r="B32" s="1"/>
      <c r="C32" s="24"/>
      <c r="D32" s="24" t="s">
        <v>399</v>
      </c>
      <c r="E32" s="24"/>
      <c r="F32" s="134"/>
      <c r="G32" s="135"/>
      <c r="H32" s="135"/>
      <c r="I32" s="135"/>
      <c r="J32" s="135"/>
      <c r="K32" s="225"/>
      <c r="L32" s="225"/>
      <c r="M32" s="225"/>
      <c r="N32" s="225"/>
      <c r="O32" s="226"/>
      <c r="P32" s="134"/>
      <c r="Q32" s="135"/>
      <c r="R32" s="137"/>
      <c r="S32" s="1"/>
      <c r="T32" s="1"/>
      <c r="U32" s="1"/>
    </row>
    <row r="33" spans="1:21" ht="9.75" customHeight="1" x14ac:dyDescent="0.4">
      <c r="A33" s="1"/>
      <c r="B33" s="1"/>
      <c r="C33" s="24"/>
      <c r="D33" s="24" t="s">
        <v>374</v>
      </c>
      <c r="E33" s="24"/>
      <c r="F33" s="134"/>
      <c r="G33" s="135"/>
      <c r="H33" s="135"/>
      <c r="I33" s="135"/>
      <c r="J33" s="135"/>
      <c r="K33" s="227"/>
      <c r="L33" s="227"/>
      <c r="M33" s="227"/>
      <c r="N33" s="227"/>
      <c r="O33" s="228"/>
      <c r="P33" s="134"/>
      <c r="Q33" s="135"/>
      <c r="R33" s="137"/>
      <c r="S33" s="1"/>
      <c r="T33" s="1"/>
      <c r="U33" s="1"/>
    </row>
    <row r="34" spans="1:21" ht="9.75" customHeight="1" x14ac:dyDescent="0.4">
      <c r="A34" s="1"/>
      <c r="B34" s="1"/>
      <c r="C34" s="24"/>
      <c r="D34" s="24" t="s">
        <v>374</v>
      </c>
      <c r="E34" s="24"/>
      <c r="F34" s="134"/>
      <c r="G34" s="135"/>
      <c r="H34" s="135"/>
      <c r="I34" s="135"/>
      <c r="J34" s="135"/>
      <c r="K34" s="227"/>
      <c r="L34" s="227"/>
      <c r="M34" s="227"/>
      <c r="N34" s="227"/>
      <c r="O34" s="228"/>
      <c r="P34" s="134"/>
      <c r="Q34" s="135"/>
      <c r="R34" s="137"/>
      <c r="S34" s="1"/>
      <c r="T34" s="1"/>
      <c r="U34" s="1"/>
    </row>
    <row r="35" spans="1:21" ht="9.75" customHeight="1" x14ac:dyDescent="0.4">
      <c r="A35" s="1"/>
      <c r="B35" s="1"/>
      <c r="C35" s="24"/>
      <c r="D35" s="24" t="s">
        <v>374</v>
      </c>
      <c r="E35" s="24"/>
      <c r="F35" s="134"/>
      <c r="G35" s="135"/>
      <c r="H35" s="135"/>
      <c r="I35" s="135"/>
      <c r="J35" s="135"/>
      <c r="K35" s="227"/>
      <c r="L35" s="227"/>
      <c r="M35" s="227"/>
      <c r="N35" s="227"/>
      <c r="O35" s="228"/>
      <c r="P35" s="134"/>
      <c r="Q35" s="135"/>
      <c r="R35" s="137"/>
      <c r="S35" s="1"/>
      <c r="T35" s="1"/>
      <c r="U35" s="1"/>
    </row>
    <row r="36" spans="1:21" ht="9.75" customHeight="1" x14ac:dyDescent="0.4">
      <c r="A36" s="1"/>
      <c r="B36" s="1"/>
      <c r="C36" s="24"/>
      <c r="D36" s="24" t="s">
        <v>374</v>
      </c>
      <c r="E36" s="24"/>
      <c r="F36" s="134"/>
      <c r="G36" s="135"/>
      <c r="H36" s="135"/>
      <c r="I36" s="135"/>
      <c r="J36" s="135"/>
      <c r="K36" s="227"/>
      <c r="L36" s="227"/>
      <c r="M36" s="227"/>
      <c r="N36" s="227"/>
      <c r="O36" s="228"/>
      <c r="P36" s="134"/>
      <c r="Q36" s="135"/>
      <c r="R36" s="137"/>
      <c r="S36" s="1"/>
      <c r="T36" s="1"/>
      <c r="U36" s="1"/>
    </row>
    <row r="37" spans="1:21" ht="9.75" customHeight="1" x14ac:dyDescent="0.4">
      <c r="A37" s="1"/>
      <c r="B37" s="1"/>
      <c r="C37" s="24"/>
      <c r="D37" s="24" t="s">
        <v>310</v>
      </c>
      <c r="E37" s="24"/>
      <c r="F37" s="134"/>
      <c r="G37" s="135"/>
      <c r="H37" s="135"/>
      <c r="I37" s="135"/>
      <c r="J37" s="135"/>
      <c r="K37" s="225"/>
      <c r="L37" s="225"/>
      <c r="M37" s="225"/>
      <c r="N37" s="225"/>
      <c r="O37" s="226"/>
      <c r="P37" s="134"/>
      <c r="Q37" s="135"/>
      <c r="R37" s="137"/>
      <c r="S37" s="1"/>
      <c r="T37" s="1"/>
      <c r="U37" s="1"/>
    </row>
    <row r="38" spans="1:21" ht="9.75" customHeight="1" x14ac:dyDescent="0.4">
      <c r="A38" s="1"/>
      <c r="B38" s="1"/>
      <c r="C38" s="24"/>
      <c r="D38" s="24" t="s">
        <v>311</v>
      </c>
      <c r="E38" s="24"/>
      <c r="F38" s="134"/>
      <c r="G38" s="135"/>
      <c r="H38" s="135"/>
      <c r="I38" s="135"/>
      <c r="J38" s="135"/>
      <c r="K38" s="227"/>
      <c r="L38" s="227"/>
      <c r="M38" s="227"/>
      <c r="N38" s="227"/>
      <c r="O38" s="228"/>
      <c r="P38" s="134"/>
      <c r="Q38" s="135"/>
      <c r="R38" s="137"/>
      <c r="S38" s="1"/>
      <c r="T38" s="1"/>
      <c r="U38" s="1"/>
    </row>
    <row r="39" spans="1:21" ht="9.75" customHeight="1" x14ac:dyDescent="0.4">
      <c r="A39" s="1"/>
      <c r="B39" s="1"/>
      <c r="C39" s="24"/>
      <c r="D39" s="24" t="s">
        <v>312</v>
      </c>
      <c r="E39" s="24"/>
      <c r="F39" s="134"/>
      <c r="G39" s="135"/>
      <c r="H39" s="135"/>
      <c r="I39" s="135"/>
      <c r="J39" s="135"/>
      <c r="K39" s="225"/>
      <c r="L39" s="225"/>
      <c r="M39" s="225"/>
      <c r="N39" s="225"/>
      <c r="O39" s="226"/>
      <c r="P39" s="134"/>
      <c r="Q39" s="135"/>
      <c r="R39" s="137"/>
      <c r="S39" s="1"/>
      <c r="T39" s="1"/>
      <c r="U39" s="1"/>
    </row>
    <row r="40" spans="1:21" ht="9.75" customHeight="1" x14ac:dyDescent="0.4">
      <c r="A40" s="1"/>
      <c r="B40" s="1"/>
      <c r="C40" s="24"/>
      <c r="D40" s="24" t="s">
        <v>400</v>
      </c>
      <c r="E40" s="24"/>
      <c r="F40" s="134"/>
      <c r="G40" s="135"/>
      <c r="H40" s="135"/>
      <c r="I40" s="135"/>
      <c r="J40" s="135"/>
      <c r="K40" s="135"/>
      <c r="L40" s="135"/>
      <c r="M40" s="135"/>
      <c r="N40" s="135"/>
      <c r="O40" s="136"/>
      <c r="P40" s="134"/>
      <c r="Q40" s="135"/>
      <c r="R40" s="137"/>
      <c r="S40" s="1"/>
      <c r="T40" s="1"/>
      <c r="U40" s="1"/>
    </row>
    <row r="41" spans="1:21" ht="9.75" customHeight="1" x14ac:dyDescent="0.4">
      <c r="A41" s="1"/>
      <c r="B41" s="1"/>
      <c r="C41" s="229"/>
      <c r="D41" s="141" t="s">
        <v>314</v>
      </c>
      <c r="E41" s="141"/>
      <c r="F41" s="142"/>
      <c r="G41" s="143"/>
      <c r="H41" s="143"/>
      <c r="I41" s="143"/>
      <c r="J41" s="143"/>
      <c r="K41" s="143"/>
      <c r="L41" s="143"/>
      <c r="M41" s="143"/>
      <c r="N41" s="143"/>
      <c r="O41" s="144"/>
      <c r="P41" s="142"/>
      <c r="Q41" s="143"/>
      <c r="R41" s="145"/>
      <c r="S41" s="1"/>
      <c r="T41" s="1"/>
      <c r="U41" s="1"/>
    </row>
    <row r="42" spans="1:21" ht="9.75" customHeight="1" x14ac:dyDescent="0.4">
      <c r="A42" s="1"/>
      <c r="B42" s="1"/>
      <c r="C42" s="24" t="s">
        <v>92</v>
      </c>
      <c r="D42" s="230" t="s">
        <v>401</v>
      </c>
      <c r="E42" s="24"/>
      <c r="F42" s="134"/>
      <c r="G42" s="135"/>
      <c r="H42" s="135"/>
      <c r="I42" s="135"/>
      <c r="J42" s="135"/>
      <c r="K42" s="231"/>
      <c r="L42" s="231"/>
      <c r="M42" s="231"/>
      <c r="N42" s="231"/>
      <c r="O42" s="232"/>
      <c r="P42" s="233"/>
      <c r="Q42" s="234"/>
      <c r="R42" s="235"/>
      <c r="S42" s="1"/>
      <c r="T42" s="1"/>
      <c r="U42" s="1"/>
    </row>
    <row r="43" spans="1:21" ht="9.75" customHeight="1" x14ac:dyDescent="0.4">
      <c r="A43" s="1"/>
      <c r="B43" s="1"/>
      <c r="C43" s="24" t="s">
        <v>396</v>
      </c>
      <c r="D43" s="230" t="s">
        <v>333</v>
      </c>
      <c r="E43" s="24"/>
      <c r="F43" s="134"/>
      <c r="G43" s="135"/>
      <c r="H43" s="135"/>
      <c r="I43" s="135"/>
      <c r="J43" s="135"/>
      <c r="K43" s="225"/>
      <c r="L43" s="225"/>
      <c r="M43" s="225"/>
      <c r="N43" s="225"/>
      <c r="O43" s="226"/>
      <c r="P43" s="134"/>
      <c r="Q43" s="135"/>
      <c r="R43" s="137"/>
      <c r="S43" s="1"/>
      <c r="T43" s="1"/>
      <c r="U43" s="1"/>
    </row>
    <row r="44" spans="1:21" ht="9.75" customHeight="1" x14ac:dyDescent="0.4">
      <c r="A44" s="1"/>
      <c r="B44" s="1"/>
      <c r="C44" s="24" t="s">
        <v>402</v>
      </c>
      <c r="D44" s="236" t="s">
        <v>334</v>
      </c>
      <c r="E44" s="226"/>
      <c r="F44" s="138"/>
      <c r="G44" s="138"/>
      <c r="H44" s="138"/>
      <c r="I44" s="138"/>
      <c r="J44" s="138"/>
      <c r="K44" s="225"/>
      <c r="L44" s="225"/>
      <c r="M44" s="225"/>
      <c r="N44" s="225"/>
      <c r="O44" s="226"/>
      <c r="P44" s="237"/>
      <c r="Q44" s="138"/>
      <c r="R44" s="137"/>
      <c r="S44" s="1"/>
      <c r="T44" s="1"/>
      <c r="U44" s="1"/>
    </row>
    <row r="45" spans="1:21" ht="9.75" customHeight="1" x14ac:dyDescent="0.4">
      <c r="A45" s="1"/>
      <c r="B45" s="1"/>
      <c r="C45" s="24" t="s">
        <v>403</v>
      </c>
      <c r="D45" s="24" t="s">
        <v>301</v>
      </c>
      <c r="E45" s="24"/>
      <c r="F45" s="134"/>
      <c r="G45" s="135"/>
      <c r="H45" s="135"/>
      <c r="I45" s="135"/>
      <c r="J45" s="135"/>
      <c r="K45" s="225"/>
      <c r="L45" s="225"/>
      <c r="M45" s="225"/>
      <c r="N45" s="225"/>
      <c r="O45" s="226"/>
      <c r="P45" s="134"/>
      <c r="Q45" s="135"/>
      <c r="R45" s="137"/>
      <c r="S45" s="1"/>
      <c r="T45" s="1"/>
      <c r="U45" s="1"/>
    </row>
    <row r="46" spans="1:21" ht="9.75" customHeight="1" x14ac:dyDescent="0.4">
      <c r="A46" s="1"/>
      <c r="B46" s="1"/>
      <c r="C46" s="24" t="s">
        <v>332</v>
      </c>
      <c r="D46" s="24" t="s">
        <v>303</v>
      </c>
      <c r="E46" s="24"/>
      <c r="F46" s="134"/>
      <c r="G46" s="135"/>
      <c r="H46" s="135"/>
      <c r="I46" s="135"/>
      <c r="J46" s="135"/>
      <c r="K46" s="227"/>
      <c r="L46" s="227"/>
      <c r="M46" s="227"/>
      <c r="N46" s="227"/>
      <c r="O46" s="228"/>
      <c r="P46" s="134"/>
      <c r="Q46" s="135"/>
      <c r="R46" s="137"/>
      <c r="S46" s="1"/>
      <c r="T46" s="1"/>
      <c r="U46" s="1"/>
    </row>
    <row r="47" spans="1:21" ht="9.75" customHeight="1" x14ac:dyDescent="0.4">
      <c r="A47" s="1"/>
      <c r="B47" s="1"/>
      <c r="C47" s="24"/>
      <c r="D47" s="24" t="s">
        <v>369</v>
      </c>
      <c r="E47" s="24"/>
      <c r="F47" s="134"/>
      <c r="G47" s="135"/>
      <c r="H47" s="135"/>
      <c r="I47" s="135"/>
      <c r="J47" s="135"/>
      <c r="K47" s="225"/>
      <c r="L47" s="225"/>
      <c r="M47" s="225"/>
      <c r="N47" s="225"/>
      <c r="O47" s="226"/>
      <c r="P47" s="134"/>
      <c r="Q47" s="135"/>
      <c r="R47" s="137"/>
      <c r="S47" s="1"/>
      <c r="T47" s="1"/>
      <c r="U47" s="1"/>
    </row>
    <row r="48" spans="1:21" ht="9.75" customHeight="1" x14ac:dyDescent="0.4">
      <c r="A48" s="1"/>
      <c r="B48" s="1"/>
      <c r="C48" s="24"/>
      <c r="D48" s="24" t="s">
        <v>369</v>
      </c>
      <c r="E48" s="24"/>
      <c r="F48" s="134"/>
      <c r="G48" s="135"/>
      <c r="H48" s="135"/>
      <c r="I48" s="135"/>
      <c r="J48" s="135"/>
      <c r="K48" s="227"/>
      <c r="L48" s="227"/>
      <c r="M48" s="227"/>
      <c r="N48" s="227"/>
      <c r="O48" s="228"/>
      <c r="P48" s="134"/>
      <c r="Q48" s="135"/>
      <c r="R48" s="137"/>
      <c r="S48" s="1"/>
      <c r="T48" s="1"/>
      <c r="U48" s="1"/>
    </row>
    <row r="49" spans="1:21" ht="9.75" customHeight="1" x14ac:dyDescent="0.4">
      <c r="A49" s="1"/>
      <c r="B49" s="1"/>
      <c r="C49" s="24"/>
      <c r="D49" s="24" t="s">
        <v>308</v>
      </c>
      <c r="E49" s="24"/>
      <c r="F49" s="134"/>
      <c r="G49" s="135"/>
      <c r="H49" s="135"/>
      <c r="I49" s="135"/>
      <c r="J49" s="135"/>
      <c r="K49" s="225"/>
      <c r="L49" s="225"/>
      <c r="M49" s="225"/>
      <c r="N49" s="225"/>
      <c r="O49" s="226"/>
      <c r="P49" s="134"/>
      <c r="Q49" s="135"/>
      <c r="R49" s="137"/>
      <c r="S49" s="1"/>
      <c r="T49" s="1"/>
      <c r="U49" s="1"/>
    </row>
    <row r="50" spans="1:21" ht="9.75" customHeight="1" x14ac:dyDescent="0.4">
      <c r="A50" s="1"/>
      <c r="B50" s="1"/>
      <c r="C50" s="24"/>
      <c r="D50" s="24" t="s">
        <v>404</v>
      </c>
      <c r="E50" s="24"/>
      <c r="F50" s="134"/>
      <c r="G50" s="135"/>
      <c r="H50" s="135"/>
      <c r="I50" s="135"/>
      <c r="J50" s="135"/>
      <c r="K50" s="225"/>
      <c r="L50" s="225"/>
      <c r="M50" s="225"/>
      <c r="N50" s="225"/>
      <c r="O50" s="226"/>
      <c r="P50" s="134"/>
      <c r="Q50" s="135"/>
      <c r="R50" s="137"/>
      <c r="S50" s="1"/>
      <c r="T50" s="1"/>
      <c r="U50" s="1"/>
    </row>
    <row r="51" spans="1:21" ht="9.75" customHeight="1" x14ac:dyDescent="0.4">
      <c r="A51" s="1"/>
      <c r="B51" s="1"/>
      <c r="C51" s="24"/>
      <c r="D51" s="24" t="s">
        <v>372</v>
      </c>
      <c r="E51" s="24"/>
      <c r="F51" s="134"/>
      <c r="G51" s="135"/>
      <c r="H51" s="135"/>
      <c r="I51" s="135"/>
      <c r="J51" s="135"/>
      <c r="K51" s="225"/>
      <c r="L51" s="225"/>
      <c r="M51" s="225"/>
      <c r="N51" s="225"/>
      <c r="O51" s="226"/>
      <c r="P51" s="134"/>
      <c r="Q51" s="135"/>
      <c r="R51" s="137"/>
      <c r="S51" s="1"/>
      <c r="T51" s="1"/>
      <c r="U51" s="1"/>
    </row>
    <row r="52" spans="1:21" ht="9.75" customHeight="1" x14ac:dyDescent="0.4">
      <c r="A52" s="1"/>
      <c r="B52" s="1"/>
      <c r="C52" s="24"/>
      <c r="D52" s="24" t="s">
        <v>374</v>
      </c>
      <c r="E52" s="24"/>
      <c r="F52" s="134"/>
      <c r="G52" s="135"/>
      <c r="H52" s="135"/>
      <c r="I52" s="135"/>
      <c r="J52" s="135"/>
      <c r="K52" s="227"/>
      <c r="L52" s="227"/>
      <c r="M52" s="227"/>
      <c r="N52" s="227"/>
      <c r="O52" s="228"/>
      <c r="P52" s="134"/>
      <c r="Q52" s="135"/>
      <c r="R52" s="137"/>
      <c r="S52" s="1"/>
      <c r="T52" s="1"/>
      <c r="U52" s="1"/>
    </row>
    <row r="53" spans="1:21" ht="9.75" customHeight="1" x14ac:dyDescent="0.4">
      <c r="A53" s="1"/>
      <c r="B53" s="1"/>
      <c r="C53" s="24"/>
      <c r="D53" s="24" t="s">
        <v>374</v>
      </c>
      <c r="E53" s="24"/>
      <c r="F53" s="134"/>
      <c r="G53" s="135"/>
      <c r="H53" s="135"/>
      <c r="I53" s="135"/>
      <c r="J53" s="135"/>
      <c r="K53" s="227"/>
      <c r="L53" s="227"/>
      <c r="M53" s="227"/>
      <c r="N53" s="227"/>
      <c r="O53" s="228"/>
      <c r="P53" s="134"/>
      <c r="Q53" s="135"/>
      <c r="R53" s="137"/>
      <c r="S53" s="1"/>
      <c r="T53" s="1"/>
      <c r="U53" s="1"/>
    </row>
    <row r="54" spans="1:21" ht="9.75" customHeight="1" x14ac:dyDescent="0.4">
      <c r="A54" s="1"/>
      <c r="B54" s="1"/>
      <c r="C54" s="24"/>
      <c r="D54" s="24" t="s">
        <v>374</v>
      </c>
      <c r="E54" s="24"/>
      <c r="F54" s="134"/>
      <c r="G54" s="135"/>
      <c r="H54" s="135"/>
      <c r="I54" s="135"/>
      <c r="J54" s="135"/>
      <c r="K54" s="227"/>
      <c r="L54" s="227"/>
      <c r="M54" s="227"/>
      <c r="N54" s="227"/>
      <c r="O54" s="228"/>
      <c r="P54" s="134"/>
      <c r="Q54" s="135"/>
      <c r="R54" s="137"/>
      <c r="S54" s="1"/>
      <c r="T54" s="1"/>
      <c r="U54" s="1"/>
    </row>
    <row r="55" spans="1:21" ht="9.75" customHeight="1" x14ac:dyDescent="0.4">
      <c r="A55" s="1"/>
      <c r="B55" s="1"/>
      <c r="C55" s="24"/>
      <c r="D55" s="24" t="s">
        <v>374</v>
      </c>
      <c r="E55" s="24"/>
      <c r="F55" s="134"/>
      <c r="G55" s="135"/>
      <c r="H55" s="135"/>
      <c r="I55" s="135"/>
      <c r="J55" s="135"/>
      <c r="K55" s="227"/>
      <c r="L55" s="227"/>
      <c r="M55" s="227"/>
      <c r="N55" s="227"/>
      <c r="O55" s="228"/>
      <c r="P55" s="134"/>
      <c r="Q55" s="135"/>
      <c r="R55" s="137"/>
      <c r="S55" s="1"/>
      <c r="T55" s="1"/>
      <c r="U55" s="1"/>
    </row>
    <row r="56" spans="1:21" ht="9.75" customHeight="1" x14ac:dyDescent="0.4">
      <c r="A56" s="1"/>
      <c r="B56" s="1"/>
      <c r="C56" s="24"/>
      <c r="D56" s="24" t="s">
        <v>310</v>
      </c>
      <c r="E56" s="24"/>
      <c r="F56" s="134"/>
      <c r="G56" s="135"/>
      <c r="H56" s="135"/>
      <c r="I56" s="135"/>
      <c r="J56" s="135"/>
      <c r="K56" s="225"/>
      <c r="L56" s="225"/>
      <c r="M56" s="225"/>
      <c r="N56" s="225"/>
      <c r="O56" s="226"/>
      <c r="P56" s="134"/>
      <c r="Q56" s="135"/>
      <c r="R56" s="137"/>
      <c r="S56" s="1"/>
      <c r="T56" s="1"/>
      <c r="U56" s="1"/>
    </row>
    <row r="57" spans="1:21" ht="9.75" customHeight="1" x14ac:dyDescent="0.4">
      <c r="A57" s="1"/>
      <c r="B57" s="1"/>
      <c r="C57" s="24"/>
      <c r="D57" s="24" t="s">
        <v>311</v>
      </c>
      <c r="E57" s="24"/>
      <c r="F57" s="134"/>
      <c r="G57" s="135"/>
      <c r="H57" s="135"/>
      <c r="I57" s="135"/>
      <c r="J57" s="135"/>
      <c r="K57" s="227"/>
      <c r="L57" s="227"/>
      <c r="M57" s="227"/>
      <c r="N57" s="227"/>
      <c r="O57" s="228"/>
      <c r="P57" s="134"/>
      <c r="Q57" s="135"/>
      <c r="R57" s="137"/>
      <c r="S57" s="1"/>
      <c r="T57" s="1"/>
      <c r="U57" s="1"/>
    </row>
    <row r="58" spans="1:21" ht="9.75" customHeight="1" x14ac:dyDescent="0.4">
      <c r="A58" s="1"/>
      <c r="B58" s="1"/>
      <c r="C58" s="24"/>
      <c r="D58" s="24" t="s">
        <v>312</v>
      </c>
      <c r="E58" s="24"/>
      <c r="F58" s="134"/>
      <c r="G58" s="135"/>
      <c r="H58" s="135"/>
      <c r="I58" s="135"/>
      <c r="J58" s="135"/>
      <c r="K58" s="225"/>
      <c r="L58" s="225"/>
      <c r="M58" s="225"/>
      <c r="N58" s="225"/>
      <c r="O58" s="226"/>
      <c r="P58" s="134"/>
      <c r="Q58" s="135"/>
      <c r="R58" s="137"/>
      <c r="S58" s="1"/>
      <c r="T58" s="1"/>
      <c r="U58" s="1"/>
    </row>
    <row r="59" spans="1:21" ht="9.75" customHeight="1" x14ac:dyDescent="0.4">
      <c r="A59" s="1"/>
      <c r="B59" s="1"/>
      <c r="C59" s="24"/>
      <c r="D59" s="24" t="s">
        <v>313</v>
      </c>
      <c r="E59" s="24"/>
      <c r="F59" s="134"/>
      <c r="G59" s="135"/>
      <c r="H59" s="135"/>
      <c r="I59" s="135"/>
      <c r="J59" s="135"/>
      <c r="K59" s="238"/>
      <c r="L59" s="238"/>
      <c r="M59" s="238"/>
      <c r="N59" s="238"/>
      <c r="O59" s="239"/>
      <c r="P59" s="134"/>
      <c r="Q59" s="135"/>
      <c r="R59" s="137"/>
      <c r="S59" s="1"/>
      <c r="T59" s="1"/>
      <c r="U59" s="1"/>
    </row>
    <row r="60" spans="1:21" ht="9.75" customHeight="1" x14ac:dyDescent="0.4">
      <c r="A60" s="1"/>
      <c r="B60" s="1"/>
      <c r="C60" s="229"/>
      <c r="D60" s="141" t="s">
        <v>314</v>
      </c>
      <c r="E60" s="240"/>
      <c r="F60" s="241"/>
      <c r="G60" s="242"/>
      <c r="H60" s="242"/>
      <c r="I60" s="242"/>
      <c r="J60" s="242"/>
      <c r="K60" s="242"/>
      <c r="L60" s="242"/>
      <c r="M60" s="242"/>
      <c r="N60" s="242"/>
      <c r="O60" s="243"/>
      <c r="P60" s="241"/>
      <c r="Q60" s="242"/>
      <c r="R60" s="145"/>
      <c r="S60" s="1"/>
      <c r="T60" s="1"/>
      <c r="U60" s="1"/>
    </row>
    <row r="61" spans="1:21" ht="9.75" customHeight="1" x14ac:dyDescent="0.4">
      <c r="A61" s="1"/>
      <c r="B61" s="1"/>
      <c r="C61" s="19" t="s">
        <v>50</v>
      </c>
      <c r="D61" s="19" t="s">
        <v>300</v>
      </c>
      <c r="E61" s="19"/>
      <c r="F61" s="133"/>
      <c r="G61" s="222"/>
      <c r="H61" s="222"/>
      <c r="I61" s="222"/>
      <c r="J61" s="222"/>
      <c r="K61" s="222"/>
      <c r="L61" s="222"/>
      <c r="M61" s="222"/>
      <c r="N61" s="222"/>
      <c r="O61" s="223"/>
      <c r="P61" s="133"/>
      <c r="Q61" s="222"/>
      <c r="R61" s="224"/>
      <c r="S61" s="1"/>
      <c r="T61" s="1"/>
      <c r="U61" s="1"/>
    </row>
    <row r="62" spans="1:21" ht="9.75" customHeight="1" x14ac:dyDescent="0.4">
      <c r="A62" s="1"/>
      <c r="B62" s="1"/>
      <c r="C62" s="24" t="s">
        <v>330</v>
      </c>
      <c r="D62" s="24" t="s">
        <v>301</v>
      </c>
      <c r="E62" s="24"/>
      <c r="F62" s="134"/>
      <c r="G62" s="135"/>
      <c r="H62" s="135"/>
      <c r="I62" s="135"/>
      <c r="J62" s="135"/>
      <c r="K62" s="135"/>
      <c r="L62" s="135"/>
      <c r="M62" s="135"/>
      <c r="N62" s="135"/>
      <c r="O62" s="136"/>
      <c r="P62" s="134"/>
      <c r="Q62" s="135"/>
      <c r="R62" s="137"/>
      <c r="S62" s="1"/>
      <c r="T62" s="1"/>
      <c r="U62" s="1"/>
    </row>
    <row r="63" spans="1:21" ht="9.75" customHeight="1" x14ac:dyDescent="0.4">
      <c r="A63" s="1"/>
      <c r="B63" s="1"/>
      <c r="C63" s="24" t="s">
        <v>397</v>
      </c>
      <c r="D63" s="24" t="s">
        <v>303</v>
      </c>
      <c r="E63" s="24"/>
      <c r="F63" s="134"/>
      <c r="G63" s="135"/>
      <c r="H63" s="135"/>
      <c r="I63" s="135"/>
      <c r="J63" s="135"/>
      <c r="K63" s="135"/>
      <c r="L63" s="135"/>
      <c r="M63" s="135"/>
      <c r="N63" s="135"/>
      <c r="O63" s="136"/>
      <c r="P63" s="134"/>
      <c r="Q63" s="135"/>
      <c r="R63" s="137"/>
      <c r="S63" s="1"/>
      <c r="T63" s="1"/>
      <c r="U63" s="1"/>
    </row>
    <row r="64" spans="1:21" ht="9.75" customHeight="1" x14ac:dyDescent="0.4">
      <c r="A64" s="1"/>
      <c r="B64" s="1"/>
      <c r="C64" s="24" t="s">
        <v>332</v>
      </c>
      <c r="D64" s="24" t="s">
        <v>369</v>
      </c>
      <c r="E64" s="24"/>
      <c r="F64" s="134"/>
      <c r="G64" s="135"/>
      <c r="H64" s="135"/>
      <c r="I64" s="135"/>
      <c r="J64" s="135"/>
      <c r="K64" s="135"/>
      <c r="L64" s="135"/>
      <c r="M64" s="135"/>
      <c r="N64" s="135"/>
      <c r="O64" s="136"/>
      <c r="P64" s="134"/>
      <c r="Q64" s="135"/>
      <c r="R64" s="137"/>
      <c r="S64" s="1"/>
      <c r="T64" s="1"/>
      <c r="U64" s="1"/>
    </row>
    <row r="65" spans="1:21" ht="9.75" customHeight="1" x14ac:dyDescent="0.4">
      <c r="A65" s="1"/>
      <c r="B65" s="1"/>
      <c r="C65" s="24"/>
      <c r="D65" s="24" t="s">
        <v>369</v>
      </c>
      <c r="E65" s="24"/>
      <c r="F65" s="134"/>
      <c r="G65" s="135"/>
      <c r="H65" s="135"/>
      <c r="I65" s="135"/>
      <c r="J65" s="135"/>
      <c r="K65" s="135"/>
      <c r="L65" s="135"/>
      <c r="M65" s="135"/>
      <c r="N65" s="135"/>
      <c r="O65" s="136"/>
      <c r="P65" s="134"/>
      <c r="Q65" s="135"/>
      <c r="R65" s="137"/>
      <c r="S65" s="1"/>
      <c r="T65" s="1"/>
      <c r="U65" s="1"/>
    </row>
    <row r="66" spans="1:21" ht="9.75" customHeight="1" x14ac:dyDescent="0.4">
      <c r="A66" s="1"/>
      <c r="B66" s="1"/>
      <c r="C66" s="24"/>
      <c r="D66" s="24" t="s">
        <v>308</v>
      </c>
      <c r="E66" s="24"/>
      <c r="F66" s="134"/>
      <c r="G66" s="135"/>
      <c r="H66" s="135"/>
      <c r="I66" s="135"/>
      <c r="J66" s="135"/>
      <c r="K66" s="135"/>
      <c r="L66" s="135"/>
      <c r="M66" s="135"/>
      <c r="N66" s="135"/>
      <c r="O66" s="136"/>
      <c r="P66" s="134"/>
      <c r="Q66" s="135"/>
      <c r="R66" s="137"/>
      <c r="S66" s="1"/>
      <c r="T66" s="1"/>
      <c r="U66" s="1"/>
    </row>
    <row r="67" spans="1:21" ht="9.75" customHeight="1" x14ac:dyDescent="0.4">
      <c r="A67" s="1"/>
      <c r="B67" s="1"/>
      <c r="C67" s="24"/>
      <c r="D67" s="24" t="s">
        <v>405</v>
      </c>
      <c r="E67" s="24"/>
      <c r="F67" s="134"/>
      <c r="G67" s="135"/>
      <c r="H67" s="135"/>
      <c r="I67" s="135"/>
      <c r="J67" s="135"/>
      <c r="K67" s="225"/>
      <c r="L67" s="225"/>
      <c r="M67" s="225"/>
      <c r="N67" s="225"/>
      <c r="O67" s="226"/>
      <c r="P67" s="134"/>
      <c r="Q67" s="135"/>
      <c r="R67" s="137"/>
      <c r="S67" s="1"/>
      <c r="T67" s="1"/>
      <c r="U67" s="1"/>
    </row>
    <row r="68" spans="1:21" ht="9.75" customHeight="1" x14ac:dyDescent="0.4">
      <c r="A68" s="1"/>
      <c r="B68" s="1"/>
      <c r="C68" s="24"/>
      <c r="D68" s="24" t="s">
        <v>374</v>
      </c>
      <c r="E68" s="24"/>
      <c r="F68" s="134"/>
      <c r="G68" s="135"/>
      <c r="H68" s="135"/>
      <c r="I68" s="135"/>
      <c r="J68" s="135"/>
      <c r="K68" s="227"/>
      <c r="L68" s="227"/>
      <c r="M68" s="227"/>
      <c r="N68" s="227"/>
      <c r="O68" s="228"/>
      <c r="P68" s="134"/>
      <c r="Q68" s="135"/>
      <c r="R68" s="137"/>
      <c r="S68" s="1"/>
      <c r="T68" s="1"/>
      <c r="U68" s="1"/>
    </row>
    <row r="69" spans="1:21" ht="9.75" customHeight="1" x14ac:dyDescent="0.4">
      <c r="A69" s="1"/>
      <c r="B69" s="1"/>
      <c r="C69" s="24"/>
      <c r="D69" s="24" t="s">
        <v>374</v>
      </c>
      <c r="E69" s="24"/>
      <c r="F69" s="134"/>
      <c r="G69" s="135"/>
      <c r="H69" s="135"/>
      <c r="I69" s="135"/>
      <c r="J69" s="135"/>
      <c r="K69" s="227"/>
      <c r="L69" s="227"/>
      <c r="M69" s="227"/>
      <c r="N69" s="227"/>
      <c r="O69" s="228"/>
      <c r="P69" s="134"/>
      <c r="Q69" s="135"/>
      <c r="R69" s="137"/>
      <c r="S69" s="1"/>
      <c r="T69" s="1"/>
      <c r="U69" s="1"/>
    </row>
    <row r="70" spans="1:21" ht="9.75" customHeight="1" x14ac:dyDescent="0.4">
      <c r="A70" s="1"/>
      <c r="B70" s="1"/>
      <c r="C70" s="24"/>
      <c r="D70" s="24" t="s">
        <v>374</v>
      </c>
      <c r="E70" s="24"/>
      <c r="F70" s="134"/>
      <c r="G70" s="135"/>
      <c r="H70" s="135"/>
      <c r="I70" s="135"/>
      <c r="J70" s="135"/>
      <c r="K70" s="227"/>
      <c r="L70" s="227"/>
      <c r="M70" s="227"/>
      <c r="N70" s="227"/>
      <c r="O70" s="228"/>
      <c r="P70" s="134"/>
      <c r="Q70" s="135"/>
      <c r="R70" s="137"/>
      <c r="S70" s="1"/>
      <c r="T70" s="1"/>
      <c r="U70" s="1"/>
    </row>
    <row r="71" spans="1:21" ht="9.75" customHeight="1" x14ac:dyDescent="0.4">
      <c r="A71" s="1"/>
      <c r="B71" s="1"/>
      <c r="C71" s="24"/>
      <c r="D71" s="24" t="s">
        <v>374</v>
      </c>
      <c r="E71" s="24"/>
      <c r="F71" s="134"/>
      <c r="G71" s="135"/>
      <c r="H71" s="135"/>
      <c r="I71" s="135"/>
      <c r="J71" s="135"/>
      <c r="K71" s="227"/>
      <c r="L71" s="227"/>
      <c r="M71" s="227"/>
      <c r="N71" s="227"/>
      <c r="O71" s="228"/>
      <c r="P71" s="134"/>
      <c r="Q71" s="135"/>
      <c r="R71" s="137"/>
      <c r="S71" s="1"/>
      <c r="T71" s="1"/>
      <c r="U71" s="1"/>
    </row>
    <row r="72" spans="1:21" ht="9.75" customHeight="1" x14ac:dyDescent="0.4">
      <c r="A72" s="1"/>
      <c r="B72" s="1"/>
      <c r="C72" s="24"/>
      <c r="D72" s="24" t="s">
        <v>374</v>
      </c>
      <c r="E72" s="24"/>
      <c r="F72" s="134"/>
      <c r="G72" s="135"/>
      <c r="H72" s="135"/>
      <c r="I72" s="135"/>
      <c r="J72" s="135"/>
      <c r="K72" s="227"/>
      <c r="L72" s="227"/>
      <c r="M72" s="227"/>
      <c r="N72" s="227"/>
      <c r="O72" s="228"/>
      <c r="P72" s="134"/>
      <c r="Q72" s="135"/>
      <c r="R72" s="137"/>
      <c r="S72" s="1"/>
      <c r="T72" s="1"/>
      <c r="U72" s="1"/>
    </row>
    <row r="73" spans="1:21" ht="9.75" customHeight="1" x14ac:dyDescent="0.4">
      <c r="A73" s="1"/>
      <c r="B73" s="1"/>
      <c r="C73" s="24"/>
      <c r="D73" s="24" t="s">
        <v>310</v>
      </c>
      <c r="E73" s="24"/>
      <c r="F73" s="134"/>
      <c r="G73" s="135"/>
      <c r="H73" s="135"/>
      <c r="I73" s="135"/>
      <c r="J73" s="135"/>
      <c r="K73" s="225"/>
      <c r="L73" s="225"/>
      <c r="M73" s="225"/>
      <c r="N73" s="225"/>
      <c r="O73" s="226"/>
      <c r="P73" s="134"/>
      <c r="Q73" s="135"/>
      <c r="R73" s="137"/>
      <c r="S73" s="1"/>
      <c r="T73" s="1"/>
      <c r="U73" s="1"/>
    </row>
    <row r="74" spans="1:21" ht="9.75" customHeight="1" x14ac:dyDescent="0.4">
      <c r="A74" s="1"/>
      <c r="B74" s="1"/>
      <c r="C74" s="24"/>
      <c r="D74" s="24" t="s">
        <v>311</v>
      </c>
      <c r="E74" s="24"/>
      <c r="F74" s="134"/>
      <c r="G74" s="135"/>
      <c r="H74" s="135"/>
      <c r="I74" s="135"/>
      <c r="J74" s="135"/>
      <c r="K74" s="135"/>
      <c r="L74" s="135"/>
      <c r="M74" s="135"/>
      <c r="N74" s="135"/>
      <c r="O74" s="136"/>
      <c r="P74" s="134"/>
      <c r="Q74" s="135"/>
      <c r="R74" s="137"/>
      <c r="S74" s="1"/>
      <c r="T74" s="1"/>
      <c r="U74" s="1"/>
    </row>
    <row r="75" spans="1:21" ht="9.75" customHeight="1" x14ac:dyDescent="0.4">
      <c r="A75" s="1"/>
      <c r="B75" s="1"/>
      <c r="C75" s="24"/>
      <c r="D75" s="24" t="s">
        <v>312</v>
      </c>
      <c r="E75" s="24"/>
      <c r="F75" s="134"/>
      <c r="G75" s="135"/>
      <c r="H75" s="135"/>
      <c r="I75" s="135"/>
      <c r="J75" s="135"/>
      <c r="K75" s="135"/>
      <c r="L75" s="135"/>
      <c r="M75" s="135"/>
      <c r="N75" s="135"/>
      <c r="O75" s="136"/>
      <c r="P75" s="134"/>
      <c r="Q75" s="135"/>
      <c r="R75" s="137"/>
      <c r="S75" s="1"/>
      <c r="T75" s="1"/>
      <c r="U75" s="1"/>
    </row>
    <row r="76" spans="1:21" ht="9.75" customHeight="1" x14ac:dyDescent="0.4">
      <c r="A76" s="1"/>
      <c r="B76" s="1"/>
      <c r="C76" s="24"/>
      <c r="D76" s="24" t="s">
        <v>406</v>
      </c>
      <c r="E76" s="24"/>
      <c r="F76" s="134"/>
      <c r="G76" s="135"/>
      <c r="H76" s="135"/>
      <c r="I76" s="135"/>
      <c r="J76" s="135"/>
      <c r="K76" s="135"/>
      <c r="L76" s="135"/>
      <c r="M76" s="135"/>
      <c r="N76" s="135"/>
      <c r="O76" s="136"/>
      <c r="P76" s="134"/>
      <c r="Q76" s="135"/>
      <c r="R76" s="137"/>
      <c r="S76" s="1"/>
      <c r="T76" s="1"/>
      <c r="U76" s="1"/>
    </row>
    <row r="77" spans="1:21" ht="9.75" customHeight="1" x14ac:dyDescent="0.4">
      <c r="A77" s="1"/>
      <c r="B77" s="1"/>
      <c r="C77" s="229"/>
      <c r="D77" s="141" t="s">
        <v>314</v>
      </c>
      <c r="E77" s="141"/>
      <c r="F77" s="142"/>
      <c r="G77" s="143"/>
      <c r="H77" s="143"/>
      <c r="I77" s="143"/>
      <c r="J77" s="143"/>
      <c r="K77" s="143"/>
      <c r="L77" s="143"/>
      <c r="M77" s="143"/>
      <c r="N77" s="143"/>
      <c r="O77" s="144"/>
      <c r="P77" s="142"/>
      <c r="Q77" s="143"/>
      <c r="R77" s="145"/>
      <c r="S77" s="1"/>
      <c r="T77" s="1"/>
      <c r="U77" s="1"/>
    </row>
    <row r="78" spans="1:21" ht="9.75" customHeight="1" x14ac:dyDescent="0.4">
      <c r="A78" s="1"/>
      <c r="B78" s="1"/>
      <c r="C78" s="15" t="s">
        <v>110</v>
      </c>
      <c r="D78" s="15" t="s">
        <v>300</v>
      </c>
      <c r="E78" s="15"/>
      <c r="F78" s="73"/>
      <c r="G78" s="108"/>
      <c r="H78" s="108"/>
      <c r="I78" s="108"/>
      <c r="J78" s="108"/>
      <c r="K78" s="108"/>
      <c r="L78" s="108"/>
      <c r="M78" s="108"/>
      <c r="N78" s="108"/>
      <c r="O78" s="109"/>
      <c r="P78" s="73"/>
      <c r="Q78" s="108"/>
      <c r="R78" s="188"/>
      <c r="S78" s="1"/>
      <c r="T78" s="1"/>
      <c r="U78" s="1"/>
    </row>
    <row r="79" spans="1:21" ht="9.75" customHeight="1" x14ac:dyDescent="0.4">
      <c r="A79" s="1"/>
      <c r="B79" s="1"/>
      <c r="C79" s="17"/>
      <c r="D79" s="17" t="s">
        <v>301</v>
      </c>
      <c r="E79" s="17"/>
      <c r="F79" s="32"/>
      <c r="G79" s="6"/>
      <c r="H79" s="6"/>
      <c r="I79" s="6"/>
      <c r="J79" s="6"/>
      <c r="K79" s="6"/>
      <c r="L79" s="6"/>
      <c r="M79" s="6"/>
      <c r="N79" s="6"/>
      <c r="O79" s="31"/>
      <c r="P79" s="32"/>
      <c r="Q79" s="6"/>
      <c r="R79" s="59"/>
      <c r="S79" s="1"/>
      <c r="T79" s="1"/>
      <c r="U79" s="1"/>
    </row>
    <row r="80" spans="1:21" ht="9.75" customHeight="1" x14ac:dyDescent="0.4">
      <c r="A80" s="1"/>
      <c r="B80" s="1"/>
      <c r="C80" s="17"/>
      <c r="D80" s="17" t="s">
        <v>303</v>
      </c>
      <c r="E80" s="17"/>
      <c r="F80" s="32"/>
      <c r="G80" s="6"/>
      <c r="H80" s="6"/>
      <c r="I80" s="6"/>
      <c r="J80" s="6"/>
      <c r="K80" s="6"/>
      <c r="L80" s="6"/>
      <c r="M80" s="6"/>
      <c r="N80" s="6"/>
      <c r="O80" s="31"/>
      <c r="P80" s="32"/>
      <c r="Q80" s="6"/>
      <c r="R80" s="59"/>
      <c r="S80" s="1"/>
      <c r="T80" s="1"/>
      <c r="U80" s="1"/>
    </row>
    <row r="81" spans="1:21" ht="9.75" customHeight="1" x14ac:dyDescent="0.4">
      <c r="A81" s="1"/>
      <c r="B81" s="1"/>
      <c r="C81" s="17"/>
      <c r="D81" s="17" t="s">
        <v>387</v>
      </c>
      <c r="E81" s="17">
        <v>2</v>
      </c>
      <c r="F81" s="32">
        <v>0</v>
      </c>
      <c r="G81" s="6">
        <v>0</v>
      </c>
      <c r="H81" s="6">
        <v>0</v>
      </c>
      <c r="I81" s="6">
        <v>0</v>
      </c>
      <c r="J81" s="6">
        <v>0</v>
      </c>
      <c r="K81" s="74">
        <v>0</v>
      </c>
      <c r="L81" s="74">
        <v>0</v>
      </c>
      <c r="M81" s="74">
        <v>1</v>
      </c>
      <c r="N81" s="74">
        <v>1</v>
      </c>
      <c r="O81" s="123">
        <v>2</v>
      </c>
      <c r="P81" s="32">
        <f>MIN(F81:O81)</f>
        <v>0</v>
      </c>
      <c r="Q81" s="6">
        <f>E81-P81</f>
        <v>2</v>
      </c>
      <c r="R81" s="59">
        <f>Q81/E81</f>
        <v>1</v>
      </c>
      <c r="S81" s="1"/>
      <c r="T81" s="1"/>
      <c r="U81" s="1"/>
    </row>
    <row r="82" spans="1:21" ht="9.75" customHeight="1" x14ac:dyDescent="0.4">
      <c r="A82" s="1"/>
      <c r="B82" s="1"/>
      <c r="C82" s="17"/>
      <c r="D82" s="17" t="s">
        <v>369</v>
      </c>
      <c r="E82" s="17"/>
      <c r="F82" s="32"/>
      <c r="G82" s="6"/>
      <c r="H82" s="6"/>
      <c r="I82" s="6"/>
      <c r="J82" s="6"/>
      <c r="K82" s="192"/>
      <c r="L82" s="192"/>
      <c r="M82" s="192"/>
      <c r="N82" s="192"/>
      <c r="O82" s="193"/>
      <c r="P82" s="32"/>
      <c r="Q82" s="6"/>
      <c r="R82" s="59"/>
      <c r="S82" s="1"/>
      <c r="T82" s="1"/>
      <c r="U82" s="1"/>
    </row>
    <row r="83" spans="1:21" ht="9.75" customHeight="1" x14ac:dyDescent="0.4">
      <c r="A83" s="1"/>
      <c r="B83" s="1"/>
      <c r="C83" s="17"/>
      <c r="D83" s="17" t="s">
        <v>308</v>
      </c>
      <c r="E83" s="17">
        <v>4</v>
      </c>
      <c r="F83" s="32">
        <v>4</v>
      </c>
      <c r="G83" s="6">
        <v>3</v>
      </c>
      <c r="H83" s="6">
        <v>4</v>
      </c>
      <c r="I83" s="6">
        <v>0</v>
      </c>
      <c r="J83" s="6">
        <v>0</v>
      </c>
      <c r="K83" s="74">
        <v>0</v>
      </c>
      <c r="L83" s="74">
        <v>1</v>
      </c>
      <c r="M83" s="74">
        <v>2</v>
      </c>
      <c r="N83" s="74">
        <v>4</v>
      </c>
      <c r="O83" s="123">
        <v>4</v>
      </c>
      <c r="P83" s="32">
        <f t="shared" ref="P83:P84" si="1">MIN(F83:O83)</f>
        <v>0</v>
      </c>
      <c r="Q83" s="6">
        <f t="shared" ref="Q83:Q84" si="2">E83-P83</f>
        <v>4</v>
      </c>
      <c r="R83" s="59">
        <f t="shared" ref="R83:R84" si="3">Q83/E83</f>
        <v>1</v>
      </c>
      <c r="S83" s="1"/>
      <c r="T83" s="1"/>
      <c r="U83" s="1"/>
    </row>
    <row r="84" spans="1:21" ht="9.75" customHeight="1" x14ac:dyDescent="0.4">
      <c r="A84" s="1"/>
      <c r="B84" s="1"/>
      <c r="C84" s="17"/>
      <c r="D84" s="17" t="s">
        <v>310</v>
      </c>
      <c r="E84" s="17">
        <v>1</v>
      </c>
      <c r="F84" s="32">
        <v>0</v>
      </c>
      <c r="G84" s="6">
        <v>0</v>
      </c>
      <c r="H84" s="6">
        <v>0</v>
      </c>
      <c r="I84" s="6">
        <v>0</v>
      </c>
      <c r="J84" s="6">
        <v>0</v>
      </c>
      <c r="K84" s="74">
        <v>0</v>
      </c>
      <c r="L84" s="74">
        <v>0</v>
      </c>
      <c r="M84" s="74">
        <v>0</v>
      </c>
      <c r="N84" s="74">
        <v>1</v>
      </c>
      <c r="O84" s="123">
        <v>1</v>
      </c>
      <c r="P84" s="32">
        <f t="shared" si="1"/>
        <v>0</v>
      </c>
      <c r="Q84" s="6">
        <f t="shared" si="2"/>
        <v>1</v>
      </c>
      <c r="R84" s="59">
        <f t="shared" si="3"/>
        <v>1</v>
      </c>
      <c r="S84" s="1"/>
      <c r="T84" s="1"/>
      <c r="U84" s="1"/>
    </row>
    <row r="85" spans="1:21" ht="9.75" customHeight="1" x14ac:dyDescent="0.4">
      <c r="A85" s="1"/>
      <c r="B85" s="1"/>
      <c r="C85" s="17"/>
      <c r="D85" s="17" t="s">
        <v>374</v>
      </c>
      <c r="E85" s="17"/>
      <c r="F85" s="32"/>
      <c r="G85" s="6"/>
      <c r="H85" s="6"/>
      <c r="I85" s="6"/>
      <c r="J85" s="6"/>
      <c r="K85" s="6"/>
      <c r="L85" s="6"/>
      <c r="M85" s="6"/>
      <c r="N85" s="6"/>
      <c r="O85" s="31"/>
      <c r="P85" s="32"/>
      <c r="Q85" s="6"/>
      <c r="R85" s="59"/>
      <c r="S85" s="1"/>
      <c r="T85" s="1"/>
      <c r="U85" s="1"/>
    </row>
    <row r="86" spans="1:21" ht="9.75" customHeight="1" x14ac:dyDescent="0.4">
      <c r="A86" s="1"/>
      <c r="B86" s="1"/>
      <c r="C86" s="17"/>
      <c r="D86" s="17" t="s">
        <v>374</v>
      </c>
      <c r="E86" s="17"/>
      <c r="F86" s="32"/>
      <c r="G86" s="6"/>
      <c r="H86" s="6"/>
      <c r="I86" s="6"/>
      <c r="J86" s="6"/>
      <c r="K86" s="6"/>
      <c r="L86" s="6"/>
      <c r="M86" s="6"/>
      <c r="N86" s="6"/>
      <c r="O86" s="31"/>
      <c r="P86" s="32"/>
      <c r="Q86" s="6"/>
      <c r="R86" s="59"/>
      <c r="S86" s="1"/>
      <c r="T86" s="1"/>
      <c r="U86" s="1"/>
    </row>
    <row r="87" spans="1:21" ht="9.75" customHeight="1" x14ac:dyDescent="0.4">
      <c r="A87" s="1"/>
      <c r="B87" s="1"/>
      <c r="C87" s="17"/>
      <c r="D87" s="17" t="s">
        <v>374</v>
      </c>
      <c r="E87" s="17"/>
      <c r="F87" s="32"/>
      <c r="G87" s="6"/>
      <c r="H87" s="6"/>
      <c r="I87" s="6"/>
      <c r="J87" s="6"/>
      <c r="K87" s="6"/>
      <c r="L87" s="6"/>
      <c r="M87" s="6"/>
      <c r="N87" s="6"/>
      <c r="O87" s="31"/>
      <c r="P87" s="32"/>
      <c r="Q87" s="6"/>
      <c r="R87" s="59"/>
      <c r="S87" s="1"/>
      <c r="T87" s="1"/>
      <c r="U87" s="1"/>
    </row>
    <row r="88" spans="1:21" ht="9.75" customHeight="1" x14ac:dyDescent="0.4">
      <c r="A88" s="1"/>
      <c r="B88" s="1"/>
      <c r="C88" s="17"/>
      <c r="D88" s="17" t="s">
        <v>374</v>
      </c>
      <c r="E88" s="17"/>
      <c r="F88" s="32"/>
      <c r="G88" s="6"/>
      <c r="H88" s="6"/>
      <c r="I88" s="6"/>
      <c r="J88" s="6"/>
      <c r="K88" s="6"/>
      <c r="L88" s="6"/>
      <c r="M88" s="6"/>
      <c r="N88" s="6"/>
      <c r="O88" s="31"/>
      <c r="P88" s="32"/>
      <c r="Q88" s="6"/>
      <c r="R88" s="59"/>
      <c r="S88" s="1"/>
      <c r="T88" s="1"/>
      <c r="U88" s="1"/>
    </row>
    <row r="89" spans="1:21" ht="9.75" customHeight="1" x14ac:dyDescent="0.4">
      <c r="A89" s="1"/>
      <c r="B89" s="1"/>
      <c r="C89" s="17"/>
      <c r="D89" s="17" t="s">
        <v>374</v>
      </c>
      <c r="E89" s="17"/>
      <c r="F89" s="32"/>
      <c r="G89" s="6"/>
      <c r="H89" s="6"/>
      <c r="I89" s="6"/>
      <c r="J89" s="6"/>
      <c r="K89" s="6"/>
      <c r="L89" s="6"/>
      <c r="M89" s="6"/>
      <c r="N89" s="6"/>
      <c r="O89" s="31"/>
      <c r="P89" s="32"/>
      <c r="Q89" s="6"/>
      <c r="R89" s="59"/>
      <c r="S89" s="1"/>
      <c r="T89" s="1"/>
      <c r="U89" s="1"/>
    </row>
    <row r="90" spans="1:21" ht="9.75" customHeight="1" x14ac:dyDescent="0.4">
      <c r="A90" s="1"/>
      <c r="B90" s="1"/>
      <c r="C90" s="17"/>
      <c r="D90" s="17" t="s">
        <v>374</v>
      </c>
      <c r="E90" s="17"/>
      <c r="F90" s="32"/>
      <c r="G90" s="6"/>
      <c r="H90" s="6"/>
      <c r="I90" s="6"/>
      <c r="J90" s="6"/>
      <c r="K90" s="6"/>
      <c r="L90" s="6"/>
      <c r="M90" s="6"/>
      <c r="N90" s="6"/>
      <c r="O90" s="31"/>
      <c r="P90" s="32"/>
      <c r="Q90" s="6"/>
      <c r="R90" s="59"/>
      <c r="S90" s="1"/>
      <c r="T90" s="1"/>
      <c r="U90" s="1"/>
    </row>
    <row r="91" spans="1:21" ht="9.75" customHeight="1" x14ac:dyDescent="0.4">
      <c r="A91" s="1"/>
      <c r="B91" s="1"/>
      <c r="C91" s="17"/>
      <c r="D91" s="17" t="s">
        <v>311</v>
      </c>
      <c r="E91" s="17"/>
      <c r="F91" s="32"/>
      <c r="G91" s="6"/>
      <c r="H91" s="6"/>
      <c r="I91" s="6"/>
      <c r="J91" s="6"/>
      <c r="K91" s="6"/>
      <c r="L91" s="6"/>
      <c r="M91" s="6"/>
      <c r="N91" s="6"/>
      <c r="O91" s="31"/>
      <c r="P91" s="32"/>
      <c r="Q91" s="6"/>
      <c r="R91" s="59"/>
      <c r="S91" s="1"/>
      <c r="T91" s="1"/>
      <c r="U91" s="1"/>
    </row>
    <row r="92" spans="1:21" ht="9.75" customHeight="1" x14ac:dyDescent="0.4">
      <c r="A92" s="1"/>
      <c r="B92" s="1"/>
      <c r="C92" s="17"/>
      <c r="D92" s="17" t="s">
        <v>312</v>
      </c>
      <c r="E92" s="17"/>
      <c r="F92" s="32"/>
      <c r="G92" s="6"/>
      <c r="H92" s="6"/>
      <c r="I92" s="6"/>
      <c r="J92" s="6"/>
      <c r="K92" s="6"/>
      <c r="L92" s="6"/>
      <c r="M92" s="6"/>
      <c r="N92" s="6"/>
      <c r="O92" s="31"/>
      <c r="P92" s="32"/>
      <c r="Q92" s="6"/>
      <c r="R92" s="59"/>
      <c r="S92" s="1"/>
      <c r="T92" s="1"/>
      <c r="U92" s="1"/>
    </row>
    <row r="93" spans="1:21" ht="9.75" customHeight="1" x14ac:dyDescent="0.4">
      <c r="A93" s="1"/>
      <c r="B93" s="1"/>
      <c r="C93" s="17"/>
      <c r="D93" s="17" t="s">
        <v>313</v>
      </c>
      <c r="E93" s="17"/>
      <c r="F93" s="32"/>
      <c r="G93" s="6"/>
      <c r="H93" s="6"/>
      <c r="I93" s="6"/>
      <c r="J93" s="6"/>
      <c r="K93" s="6"/>
      <c r="L93" s="6"/>
      <c r="M93" s="6"/>
      <c r="N93" s="6"/>
      <c r="O93" s="31"/>
      <c r="P93" s="32"/>
      <c r="Q93" s="6"/>
      <c r="R93" s="59"/>
      <c r="S93" s="1"/>
      <c r="T93" s="1"/>
      <c r="U93" s="1"/>
    </row>
    <row r="94" spans="1:21" ht="9.75" customHeight="1" x14ac:dyDescent="0.4">
      <c r="A94" s="1"/>
      <c r="B94" s="1"/>
      <c r="C94" s="34"/>
      <c r="D94" s="65" t="s">
        <v>314</v>
      </c>
      <c r="E94" s="65">
        <f t="shared" ref="E94:O94" si="4">SUM(E78:E93)</f>
        <v>7</v>
      </c>
      <c r="F94" s="104">
        <f t="shared" si="4"/>
        <v>4</v>
      </c>
      <c r="G94" s="128">
        <f t="shared" si="4"/>
        <v>3</v>
      </c>
      <c r="H94" s="128">
        <f t="shared" si="4"/>
        <v>4</v>
      </c>
      <c r="I94" s="128">
        <f t="shared" si="4"/>
        <v>0</v>
      </c>
      <c r="J94" s="128">
        <f t="shared" si="4"/>
        <v>0</v>
      </c>
      <c r="K94" s="128">
        <f t="shared" si="4"/>
        <v>0</v>
      </c>
      <c r="L94" s="128">
        <f t="shared" si="4"/>
        <v>1</v>
      </c>
      <c r="M94" s="128">
        <f t="shared" si="4"/>
        <v>3</v>
      </c>
      <c r="N94" s="128">
        <f t="shared" si="4"/>
        <v>6</v>
      </c>
      <c r="O94" s="129">
        <f t="shared" si="4"/>
        <v>7</v>
      </c>
      <c r="P94" s="104">
        <f>MIN(F94:O94)</f>
        <v>0</v>
      </c>
      <c r="Q94" s="128">
        <f>E94-P94</f>
        <v>7</v>
      </c>
      <c r="R94" s="72">
        <f>Q94/E94</f>
        <v>1</v>
      </c>
      <c r="S94" s="1"/>
      <c r="T94" s="1"/>
      <c r="U94" s="1"/>
    </row>
    <row r="95" spans="1:21" ht="9.75" customHeight="1" x14ac:dyDescent="0.4">
      <c r="A95" s="1"/>
      <c r="B95" s="1"/>
      <c r="C95" s="19" t="s">
        <v>127</v>
      </c>
      <c r="D95" s="244" t="s">
        <v>300</v>
      </c>
      <c r="E95" s="244"/>
      <c r="F95" s="245"/>
      <c r="G95" s="246"/>
      <c r="H95" s="246"/>
      <c r="I95" s="246"/>
      <c r="J95" s="246"/>
      <c r="K95" s="246"/>
      <c r="L95" s="246"/>
      <c r="M95" s="246"/>
      <c r="N95" s="246"/>
      <c r="O95" s="247"/>
      <c r="P95" s="245"/>
      <c r="Q95" s="246"/>
      <c r="R95" s="248"/>
      <c r="S95" s="1"/>
      <c r="T95" s="1"/>
      <c r="U95" s="1"/>
    </row>
    <row r="96" spans="1:21" ht="9.75" customHeight="1" x14ac:dyDescent="0.4">
      <c r="A96" s="1"/>
      <c r="B96" s="1"/>
      <c r="C96" s="249"/>
      <c r="D96" s="249" t="s">
        <v>301</v>
      </c>
      <c r="E96" s="249"/>
      <c r="F96" s="250"/>
      <c r="G96" s="251"/>
      <c r="H96" s="251"/>
      <c r="I96" s="251"/>
      <c r="J96" s="251"/>
      <c r="K96" s="251"/>
      <c r="L96" s="251"/>
      <c r="M96" s="251"/>
      <c r="N96" s="251"/>
      <c r="O96" s="252"/>
      <c r="P96" s="250"/>
      <c r="Q96" s="251"/>
      <c r="R96" s="253"/>
      <c r="S96" s="1"/>
      <c r="T96" s="1"/>
      <c r="U96" s="1"/>
    </row>
    <row r="97" spans="1:21" ht="9.75" customHeight="1" x14ac:dyDescent="0.4">
      <c r="A97" s="1"/>
      <c r="B97" s="1"/>
      <c r="C97" s="249"/>
      <c r="D97" s="249" t="s">
        <v>303</v>
      </c>
      <c r="E97" s="249"/>
      <c r="F97" s="250"/>
      <c r="G97" s="251"/>
      <c r="H97" s="251"/>
      <c r="I97" s="251"/>
      <c r="J97" s="251"/>
      <c r="K97" s="251"/>
      <c r="L97" s="251"/>
      <c r="M97" s="251"/>
      <c r="N97" s="251"/>
      <c r="O97" s="252"/>
      <c r="P97" s="250"/>
      <c r="Q97" s="251"/>
      <c r="R97" s="253"/>
      <c r="S97" s="1"/>
      <c r="T97" s="1"/>
      <c r="U97" s="1"/>
    </row>
    <row r="98" spans="1:21" ht="9.75" customHeight="1" x14ac:dyDescent="0.4">
      <c r="A98" s="1"/>
      <c r="B98" s="1"/>
      <c r="C98" s="249"/>
      <c r="D98" s="249" t="s">
        <v>369</v>
      </c>
      <c r="E98" s="249"/>
      <c r="F98" s="250"/>
      <c r="G98" s="251"/>
      <c r="H98" s="251"/>
      <c r="I98" s="251"/>
      <c r="J98" s="251"/>
      <c r="K98" s="251"/>
      <c r="L98" s="251"/>
      <c r="M98" s="251"/>
      <c r="N98" s="251"/>
      <c r="O98" s="252"/>
      <c r="P98" s="250"/>
      <c r="Q98" s="251"/>
      <c r="R98" s="253"/>
      <c r="S98" s="1"/>
      <c r="T98" s="1"/>
      <c r="U98" s="1"/>
    </row>
    <row r="99" spans="1:21" ht="9.75" customHeight="1" x14ac:dyDescent="0.4">
      <c r="A99" s="1"/>
      <c r="B99" s="1"/>
      <c r="C99" s="249"/>
      <c r="D99" s="249" t="s">
        <v>369</v>
      </c>
      <c r="E99" s="249"/>
      <c r="F99" s="250"/>
      <c r="G99" s="251"/>
      <c r="H99" s="251"/>
      <c r="I99" s="251"/>
      <c r="J99" s="251"/>
      <c r="K99" s="251"/>
      <c r="L99" s="251"/>
      <c r="M99" s="251"/>
      <c r="N99" s="251"/>
      <c r="O99" s="252"/>
      <c r="P99" s="250"/>
      <c r="Q99" s="251"/>
      <c r="R99" s="253"/>
      <c r="S99" s="1"/>
      <c r="T99" s="1"/>
      <c r="U99" s="1"/>
    </row>
    <row r="100" spans="1:21" ht="9.75" customHeight="1" x14ac:dyDescent="0.4">
      <c r="A100" s="1"/>
      <c r="B100" s="1"/>
      <c r="C100" s="249"/>
      <c r="D100" s="249" t="s">
        <v>308</v>
      </c>
      <c r="E100" s="249"/>
      <c r="F100" s="134"/>
      <c r="G100" s="135"/>
      <c r="H100" s="135"/>
      <c r="I100" s="135"/>
      <c r="J100" s="135"/>
      <c r="K100" s="251"/>
      <c r="L100" s="251"/>
      <c r="M100" s="251"/>
      <c r="N100" s="251"/>
      <c r="O100" s="252"/>
      <c r="P100" s="250"/>
      <c r="Q100" s="251"/>
      <c r="R100" s="253"/>
      <c r="S100" s="1"/>
      <c r="T100" s="1"/>
      <c r="U100" s="1"/>
    </row>
    <row r="101" spans="1:21" ht="9.75" customHeight="1" x14ac:dyDescent="0.4">
      <c r="A101" s="1"/>
      <c r="B101" s="1"/>
      <c r="C101" s="249"/>
      <c r="D101" s="249" t="s">
        <v>374</v>
      </c>
      <c r="E101" s="249"/>
      <c r="F101" s="250"/>
      <c r="G101" s="251"/>
      <c r="H101" s="251"/>
      <c r="I101" s="251"/>
      <c r="J101" s="251"/>
      <c r="K101" s="251"/>
      <c r="L101" s="251"/>
      <c r="M101" s="251"/>
      <c r="N101" s="251"/>
      <c r="O101" s="252"/>
      <c r="P101" s="250"/>
      <c r="Q101" s="251"/>
      <c r="R101" s="253"/>
      <c r="S101" s="1"/>
      <c r="T101" s="1"/>
      <c r="U101" s="1"/>
    </row>
    <row r="102" spans="1:21" ht="9.75" customHeight="1" x14ac:dyDescent="0.4">
      <c r="A102" s="1"/>
      <c r="B102" s="1"/>
      <c r="C102" s="249"/>
      <c r="D102" s="249" t="s">
        <v>374</v>
      </c>
      <c r="E102" s="249"/>
      <c r="F102" s="250"/>
      <c r="G102" s="251"/>
      <c r="H102" s="251"/>
      <c r="I102" s="251"/>
      <c r="J102" s="251"/>
      <c r="K102" s="251"/>
      <c r="L102" s="251"/>
      <c r="M102" s="251"/>
      <c r="N102" s="251"/>
      <c r="O102" s="252"/>
      <c r="P102" s="250"/>
      <c r="Q102" s="251"/>
      <c r="R102" s="253"/>
      <c r="S102" s="1"/>
      <c r="T102" s="1"/>
      <c r="U102" s="1"/>
    </row>
    <row r="103" spans="1:21" ht="9.75" customHeight="1" x14ac:dyDescent="0.4">
      <c r="A103" s="1"/>
      <c r="B103" s="1"/>
      <c r="C103" s="249"/>
      <c r="D103" s="249" t="s">
        <v>374</v>
      </c>
      <c r="E103" s="249"/>
      <c r="F103" s="250"/>
      <c r="G103" s="251"/>
      <c r="H103" s="251"/>
      <c r="I103" s="251"/>
      <c r="J103" s="251"/>
      <c r="K103" s="251"/>
      <c r="L103" s="251"/>
      <c r="M103" s="251"/>
      <c r="N103" s="251"/>
      <c r="O103" s="252"/>
      <c r="P103" s="250"/>
      <c r="Q103" s="251"/>
      <c r="R103" s="253"/>
      <c r="S103" s="1"/>
      <c r="T103" s="1"/>
      <c r="U103" s="1"/>
    </row>
    <row r="104" spans="1:21" ht="9.75" customHeight="1" x14ac:dyDescent="0.4">
      <c r="A104" s="1"/>
      <c r="B104" s="1"/>
      <c r="C104" s="249"/>
      <c r="D104" s="249" t="s">
        <v>374</v>
      </c>
      <c r="E104" s="249"/>
      <c r="F104" s="250"/>
      <c r="G104" s="251"/>
      <c r="H104" s="251"/>
      <c r="I104" s="251"/>
      <c r="J104" s="251"/>
      <c r="K104" s="251"/>
      <c r="L104" s="251"/>
      <c r="M104" s="251"/>
      <c r="N104" s="251"/>
      <c r="O104" s="252"/>
      <c r="P104" s="250"/>
      <c r="Q104" s="251"/>
      <c r="R104" s="253"/>
      <c r="S104" s="1"/>
      <c r="T104" s="1"/>
      <c r="U104" s="1"/>
    </row>
    <row r="105" spans="1:21" ht="9.75" customHeight="1" x14ac:dyDescent="0.4">
      <c r="A105" s="1"/>
      <c r="B105" s="1"/>
      <c r="C105" s="249"/>
      <c r="D105" s="249" t="s">
        <v>374</v>
      </c>
      <c r="E105" s="249"/>
      <c r="F105" s="250"/>
      <c r="G105" s="251"/>
      <c r="H105" s="251"/>
      <c r="I105" s="251"/>
      <c r="J105" s="251"/>
      <c r="K105" s="251"/>
      <c r="L105" s="251"/>
      <c r="M105" s="251"/>
      <c r="N105" s="251"/>
      <c r="O105" s="252"/>
      <c r="P105" s="250"/>
      <c r="Q105" s="251"/>
      <c r="R105" s="253"/>
      <c r="S105" s="1"/>
      <c r="T105" s="1"/>
      <c r="U105" s="1"/>
    </row>
    <row r="106" spans="1:21" ht="9.75" customHeight="1" x14ac:dyDescent="0.4">
      <c r="A106" s="1"/>
      <c r="B106" s="1"/>
      <c r="C106" s="249"/>
      <c r="D106" s="249" t="s">
        <v>374</v>
      </c>
      <c r="E106" s="249"/>
      <c r="F106" s="250"/>
      <c r="G106" s="251"/>
      <c r="H106" s="251"/>
      <c r="I106" s="251"/>
      <c r="J106" s="251"/>
      <c r="K106" s="251"/>
      <c r="L106" s="251"/>
      <c r="M106" s="251"/>
      <c r="N106" s="251"/>
      <c r="O106" s="252"/>
      <c r="P106" s="250"/>
      <c r="Q106" s="251"/>
      <c r="R106" s="253"/>
      <c r="S106" s="1"/>
      <c r="T106" s="1"/>
      <c r="U106" s="1"/>
    </row>
    <row r="107" spans="1:21" ht="9.75" customHeight="1" x14ac:dyDescent="0.4">
      <c r="A107" s="1"/>
      <c r="B107" s="1"/>
      <c r="C107" s="249"/>
      <c r="D107" s="249" t="s">
        <v>310</v>
      </c>
      <c r="E107" s="249"/>
      <c r="F107" s="250"/>
      <c r="G107" s="251"/>
      <c r="H107" s="251"/>
      <c r="I107" s="251"/>
      <c r="J107" s="251"/>
      <c r="K107" s="251"/>
      <c r="L107" s="251"/>
      <c r="M107" s="251"/>
      <c r="N107" s="251"/>
      <c r="O107" s="252"/>
      <c r="P107" s="250"/>
      <c r="Q107" s="251"/>
      <c r="R107" s="253"/>
      <c r="S107" s="1"/>
      <c r="T107" s="1"/>
      <c r="U107" s="1"/>
    </row>
    <row r="108" spans="1:21" ht="9.75" customHeight="1" x14ac:dyDescent="0.4">
      <c r="A108" s="1"/>
      <c r="B108" s="1"/>
      <c r="C108" s="249"/>
      <c r="D108" s="249" t="s">
        <v>311</v>
      </c>
      <c r="E108" s="249"/>
      <c r="F108" s="250"/>
      <c r="G108" s="251"/>
      <c r="H108" s="251"/>
      <c r="I108" s="251"/>
      <c r="J108" s="251"/>
      <c r="K108" s="254"/>
      <c r="L108" s="254"/>
      <c r="M108" s="254"/>
      <c r="N108" s="254"/>
      <c r="O108" s="255"/>
      <c r="P108" s="250"/>
      <c r="Q108" s="251"/>
      <c r="R108" s="253"/>
      <c r="S108" s="1"/>
      <c r="T108" s="1"/>
      <c r="U108" s="1"/>
    </row>
    <row r="109" spans="1:21" ht="9.75" customHeight="1" x14ac:dyDescent="0.4">
      <c r="A109" s="1"/>
      <c r="B109" s="1"/>
      <c r="C109" s="249"/>
      <c r="D109" s="24" t="s">
        <v>312</v>
      </c>
      <c r="E109" s="24"/>
      <c r="F109" s="134"/>
      <c r="G109" s="135"/>
      <c r="H109" s="135"/>
      <c r="I109" s="135"/>
      <c r="J109" s="135"/>
      <c r="K109" s="225"/>
      <c r="L109" s="225"/>
      <c r="M109" s="225"/>
      <c r="N109" s="225"/>
      <c r="O109" s="226"/>
      <c r="P109" s="250"/>
      <c r="Q109" s="251"/>
      <c r="R109" s="253"/>
      <c r="S109" s="1"/>
      <c r="T109" s="1"/>
      <c r="U109" s="1"/>
    </row>
    <row r="110" spans="1:21" ht="9.75" customHeight="1" x14ac:dyDescent="0.4">
      <c r="A110" s="1"/>
      <c r="B110" s="1"/>
      <c r="C110" s="249"/>
      <c r="D110" s="249" t="s">
        <v>313</v>
      </c>
      <c r="E110" s="249"/>
      <c r="F110" s="134"/>
      <c r="G110" s="135"/>
      <c r="H110" s="135"/>
      <c r="I110" s="135"/>
      <c r="J110" s="135"/>
      <c r="K110" s="238"/>
      <c r="L110" s="238"/>
      <c r="M110" s="238"/>
      <c r="N110" s="238"/>
      <c r="O110" s="239"/>
      <c r="P110" s="250"/>
      <c r="Q110" s="251"/>
      <c r="R110" s="253"/>
      <c r="S110" s="1"/>
      <c r="T110" s="1"/>
      <c r="U110" s="1"/>
    </row>
    <row r="111" spans="1:21" ht="9.75" customHeight="1" x14ac:dyDescent="0.4">
      <c r="A111" s="1"/>
      <c r="B111" s="1" t="s">
        <v>395</v>
      </c>
      <c r="C111" s="256"/>
      <c r="D111" s="141" t="s">
        <v>314</v>
      </c>
      <c r="E111" s="141"/>
      <c r="F111" s="142"/>
      <c r="G111" s="143"/>
      <c r="H111" s="143"/>
      <c r="I111" s="143"/>
      <c r="J111" s="143"/>
      <c r="K111" s="143"/>
      <c r="L111" s="143"/>
      <c r="M111" s="143"/>
      <c r="N111" s="143"/>
      <c r="O111" s="144"/>
      <c r="P111" s="142"/>
      <c r="Q111" s="143"/>
      <c r="R111" s="145"/>
      <c r="S111" s="1"/>
      <c r="T111" s="1"/>
      <c r="U111" s="1"/>
    </row>
    <row r="112" spans="1:21" ht="9.75" customHeight="1" x14ac:dyDescent="0.4">
      <c r="A112" s="1"/>
      <c r="B112" s="1"/>
      <c r="C112" s="257" t="s">
        <v>144</v>
      </c>
      <c r="D112" s="257" t="s">
        <v>300</v>
      </c>
      <c r="E112" s="257"/>
      <c r="F112" s="258"/>
      <c r="G112" s="259"/>
      <c r="H112" s="259"/>
      <c r="I112" s="259"/>
      <c r="J112" s="259"/>
      <c r="K112" s="259"/>
      <c r="L112" s="259"/>
      <c r="M112" s="259"/>
      <c r="N112" s="259"/>
      <c r="O112" s="260"/>
      <c r="P112" s="258"/>
      <c r="Q112" s="259"/>
      <c r="R112" s="261"/>
      <c r="S112" s="1"/>
      <c r="T112" s="1"/>
      <c r="U112" s="1"/>
    </row>
    <row r="113" spans="1:21" ht="9.75" customHeight="1" x14ac:dyDescent="0.4">
      <c r="A113" s="1"/>
      <c r="B113" s="1"/>
      <c r="C113" s="146" t="s">
        <v>407</v>
      </c>
      <c r="D113" s="146" t="s">
        <v>301</v>
      </c>
      <c r="E113" s="146"/>
      <c r="F113" s="147"/>
      <c r="G113" s="148"/>
      <c r="H113" s="148"/>
      <c r="I113" s="148"/>
      <c r="J113" s="148"/>
      <c r="K113" s="148"/>
      <c r="L113" s="148"/>
      <c r="M113" s="148"/>
      <c r="N113" s="148"/>
      <c r="O113" s="149"/>
      <c r="P113" s="147"/>
      <c r="Q113" s="148"/>
      <c r="R113" s="150"/>
      <c r="S113" s="1"/>
      <c r="T113" s="1"/>
      <c r="U113" s="1"/>
    </row>
    <row r="114" spans="1:21" ht="9.75" customHeight="1" x14ac:dyDescent="0.4">
      <c r="A114" s="1"/>
      <c r="B114" s="1"/>
      <c r="C114" s="146" t="s">
        <v>408</v>
      </c>
      <c r="D114" s="146" t="s">
        <v>303</v>
      </c>
      <c r="E114" s="146"/>
      <c r="F114" s="147"/>
      <c r="G114" s="148"/>
      <c r="H114" s="148"/>
      <c r="I114" s="148"/>
      <c r="J114" s="148"/>
      <c r="K114" s="148"/>
      <c r="L114" s="148"/>
      <c r="M114" s="148"/>
      <c r="N114" s="148"/>
      <c r="O114" s="149"/>
      <c r="P114" s="147"/>
      <c r="Q114" s="148"/>
      <c r="R114" s="150"/>
      <c r="S114" s="1"/>
      <c r="T114" s="1"/>
      <c r="U114" s="1"/>
    </row>
    <row r="115" spans="1:21" ht="9.75" customHeight="1" x14ac:dyDescent="0.4">
      <c r="A115" s="1"/>
      <c r="B115" s="1"/>
      <c r="C115" s="146" t="s">
        <v>397</v>
      </c>
      <c r="D115" s="146" t="s">
        <v>369</v>
      </c>
      <c r="E115" s="146"/>
      <c r="F115" s="147"/>
      <c r="G115" s="148"/>
      <c r="H115" s="148"/>
      <c r="I115" s="148"/>
      <c r="J115" s="148"/>
      <c r="K115" s="148"/>
      <c r="L115" s="148"/>
      <c r="M115" s="148"/>
      <c r="N115" s="148"/>
      <c r="O115" s="149"/>
      <c r="P115" s="147"/>
      <c r="Q115" s="148"/>
      <c r="R115" s="150"/>
      <c r="S115" s="1"/>
      <c r="T115" s="1"/>
      <c r="U115" s="1"/>
    </row>
    <row r="116" spans="1:21" ht="9.75" customHeight="1" x14ac:dyDescent="0.4">
      <c r="A116" s="1"/>
      <c r="B116" s="1"/>
      <c r="C116" s="146" t="s">
        <v>384</v>
      </c>
      <c r="D116" s="146" t="s">
        <v>369</v>
      </c>
      <c r="E116" s="146"/>
      <c r="F116" s="147"/>
      <c r="G116" s="148"/>
      <c r="H116" s="148"/>
      <c r="I116" s="148"/>
      <c r="J116" s="148"/>
      <c r="K116" s="148"/>
      <c r="L116" s="148"/>
      <c r="M116" s="148"/>
      <c r="N116" s="148"/>
      <c r="O116" s="149"/>
      <c r="P116" s="147"/>
      <c r="Q116" s="148"/>
      <c r="R116" s="150"/>
      <c r="S116" s="1"/>
      <c r="T116" s="1"/>
      <c r="U116" s="1"/>
    </row>
    <row r="117" spans="1:21" ht="9.75" customHeight="1" x14ac:dyDescent="0.4">
      <c r="A117" s="1"/>
      <c r="B117" s="1"/>
      <c r="C117" s="146"/>
      <c r="D117" s="146" t="s">
        <v>308</v>
      </c>
      <c r="E117" s="146"/>
      <c r="F117" s="147"/>
      <c r="G117" s="148"/>
      <c r="H117" s="148"/>
      <c r="I117" s="148"/>
      <c r="J117" s="148"/>
      <c r="K117" s="148"/>
      <c r="L117" s="148"/>
      <c r="M117" s="148"/>
      <c r="N117" s="148"/>
      <c r="O117" s="149"/>
      <c r="P117" s="147"/>
      <c r="Q117" s="148"/>
      <c r="R117" s="150"/>
      <c r="S117" s="1"/>
      <c r="T117" s="1"/>
      <c r="U117" s="1"/>
    </row>
    <row r="118" spans="1:21" ht="9.75" customHeight="1" x14ac:dyDescent="0.4">
      <c r="A118" s="1"/>
      <c r="B118" s="1"/>
      <c r="C118" s="146"/>
      <c r="D118" s="146" t="s">
        <v>374</v>
      </c>
      <c r="E118" s="146"/>
      <c r="F118" s="147"/>
      <c r="G118" s="148"/>
      <c r="H118" s="148"/>
      <c r="I118" s="148"/>
      <c r="J118" s="148"/>
      <c r="K118" s="148"/>
      <c r="L118" s="148"/>
      <c r="M118" s="148"/>
      <c r="N118" s="148"/>
      <c r="O118" s="149"/>
      <c r="P118" s="147"/>
      <c r="Q118" s="148"/>
      <c r="R118" s="150"/>
      <c r="S118" s="1"/>
      <c r="T118" s="1"/>
      <c r="U118" s="1"/>
    </row>
    <row r="119" spans="1:21" ht="9.75" customHeight="1" x14ac:dyDescent="0.4">
      <c r="A119" s="1"/>
      <c r="B119" s="1"/>
      <c r="C119" s="146"/>
      <c r="D119" s="146" t="s">
        <v>374</v>
      </c>
      <c r="E119" s="146"/>
      <c r="F119" s="147"/>
      <c r="G119" s="148"/>
      <c r="H119" s="148"/>
      <c r="I119" s="148"/>
      <c r="J119" s="148"/>
      <c r="K119" s="148"/>
      <c r="L119" s="148"/>
      <c r="M119" s="148"/>
      <c r="N119" s="148"/>
      <c r="O119" s="149"/>
      <c r="P119" s="147"/>
      <c r="Q119" s="148"/>
      <c r="R119" s="150"/>
      <c r="S119" s="1"/>
      <c r="T119" s="1"/>
      <c r="U119" s="1"/>
    </row>
    <row r="120" spans="1:21" ht="9.75" customHeight="1" x14ac:dyDescent="0.4">
      <c r="A120" s="1"/>
      <c r="B120" s="1"/>
      <c r="C120" s="146"/>
      <c r="D120" s="146" t="s">
        <v>374</v>
      </c>
      <c r="E120" s="146"/>
      <c r="F120" s="147"/>
      <c r="G120" s="148"/>
      <c r="H120" s="148"/>
      <c r="I120" s="148"/>
      <c r="J120" s="148"/>
      <c r="K120" s="148"/>
      <c r="L120" s="148"/>
      <c r="M120" s="148"/>
      <c r="N120" s="148"/>
      <c r="O120" s="149"/>
      <c r="P120" s="147"/>
      <c r="Q120" s="148"/>
      <c r="R120" s="150"/>
      <c r="S120" s="1"/>
      <c r="T120" s="1"/>
      <c r="U120" s="1"/>
    </row>
    <row r="121" spans="1:21" ht="9.75" customHeight="1" x14ac:dyDescent="0.4">
      <c r="A121" s="1"/>
      <c r="B121" s="1"/>
      <c r="C121" s="146"/>
      <c r="D121" s="146" t="s">
        <v>374</v>
      </c>
      <c r="E121" s="146"/>
      <c r="F121" s="147"/>
      <c r="G121" s="148"/>
      <c r="H121" s="148"/>
      <c r="I121" s="148"/>
      <c r="J121" s="148"/>
      <c r="K121" s="148"/>
      <c r="L121" s="148"/>
      <c r="M121" s="148"/>
      <c r="N121" s="148"/>
      <c r="O121" s="149"/>
      <c r="P121" s="147"/>
      <c r="Q121" s="148"/>
      <c r="R121" s="150"/>
      <c r="S121" s="1"/>
      <c r="T121" s="1"/>
      <c r="U121" s="1"/>
    </row>
    <row r="122" spans="1:21" ht="9.75" customHeight="1" x14ac:dyDescent="0.4">
      <c r="A122" s="1"/>
      <c r="B122" s="1"/>
      <c r="C122" s="146"/>
      <c r="D122" s="146" t="s">
        <v>374</v>
      </c>
      <c r="E122" s="146"/>
      <c r="F122" s="147"/>
      <c r="G122" s="148"/>
      <c r="H122" s="148"/>
      <c r="I122" s="148"/>
      <c r="J122" s="148"/>
      <c r="K122" s="148"/>
      <c r="L122" s="148"/>
      <c r="M122" s="148"/>
      <c r="N122" s="148"/>
      <c r="O122" s="149"/>
      <c r="P122" s="147"/>
      <c r="Q122" s="148"/>
      <c r="R122" s="150"/>
      <c r="S122" s="1"/>
      <c r="T122" s="1"/>
      <c r="U122" s="1"/>
    </row>
    <row r="123" spans="1:21" ht="9.75" customHeight="1" x14ac:dyDescent="0.4">
      <c r="A123" s="1"/>
      <c r="B123" s="1"/>
      <c r="C123" s="146"/>
      <c r="D123" s="146" t="s">
        <v>374</v>
      </c>
      <c r="E123" s="146"/>
      <c r="F123" s="147"/>
      <c r="G123" s="148"/>
      <c r="H123" s="148"/>
      <c r="I123" s="148"/>
      <c r="J123" s="148"/>
      <c r="K123" s="148"/>
      <c r="L123" s="148"/>
      <c r="M123" s="148"/>
      <c r="N123" s="148"/>
      <c r="O123" s="149"/>
      <c r="P123" s="147"/>
      <c r="Q123" s="148"/>
      <c r="R123" s="150"/>
      <c r="S123" s="1"/>
      <c r="T123" s="1"/>
      <c r="U123" s="1"/>
    </row>
    <row r="124" spans="1:21" ht="9.75" customHeight="1" x14ac:dyDescent="0.4">
      <c r="A124" s="1"/>
      <c r="B124" s="1"/>
      <c r="C124" s="146"/>
      <c r="D124" s="146" t="s">
        <v>310</v>
      </c>
      <c r="E124" s="146"/>
      <c r="F124" s="147"/>
      <c r="G124" s="148"/>
      <c r="H124" s="148"/>
      <c r="I124" s="148"/>
      <c r="J124" s="148"/>
      <c r="K124" s="262"/>
      <c r="L124" s="262"/>
      <c r="M124" s="262"/>
      <c r="N124" s="262"/>
      <c r="O124" s="263"/>
      <c r="P124" s="147"/>
      <c r="Q124" s="148"/>
      <c r="R124" s="150"/>
      <c r="S124" s="1"/>
      <c r="T124" s="1"/>
      <c r="U124" s="1"/>
    </row>
    <row r="125" spans="1:21" ht="9.75" customHeight="1" x14ac:dyDescent="0.4">
      <c r="A125" s="1"/>
      <c r="B125" s="1"/>
      <c r="C125" s="146"/>
      <c r="D125" s="146" t="s">
        <v>311</v>
      </c>
      <c r="E125" s="146"/>
      <c r="F125" s="147"/>
      <c r="G125" s="148"/>
      <c r="H125" s="148"/>
      <c r="I125" s="148"/>
      <c r="J125" s="148"/>
      <c r="K125" s="262"/>
      <c r="L125" s="262"/>
      <c r="M125" s="262"/>
      <c r="N125" s="262"/>
      <c r="O125" s="263"/>
      <c r="P125" s="147"/>
      <c r="Q125" s="148"/>
      <c r="R125" s="150"/>
      <c r="S125" s="1"/>
      <c r="T125" s="1"/>
      <c r="U125" s="1"/>
    </row>
    <row r="126" spans="1:21" ht="9.75" customHeight="1" x14ac:dyDescent="0.4">
      <c r="A126" s="1"/>
      <c r="B126" s="1"/>
      <c r="C126" s="146"/>
      <c r="D126" s="146" t="s">
        <v>312</v>
      </c>
      <c r="E126" s="146"/>
      <c r="F126" s="147"/>
      <c r="G126" s="148"/>
      <c r="H126" s="148"/>
      <c r="I126" s="148"/>
      <c r="J126" s="148"/>
      <c r="K126" s="262"/>
      <c r="L126" s="262"/>
      <c r="M126" s="262"/>
      <c r="N126" s="262"/>
      <c r="O126" s="263"/>
      <c r="P126" s="147"/>
      <c r="Q126" s="148"/>
      <c r="R126" s="150"/>
      <c r="S126" s="1"/>
      <c r="T126" s="1"/>
      <c r="U126" s="1"/>
    </row>
    <row r="127" spans="1:21" ht="9.75" customHeight="1" x14ac:dyDescent="0.4">
      <c r="A127" s="1"/>
      <c r="B127" s="1"/>
      <c r="C127" s="146"/>
      <c r="D127" s="146" t="s">
        <v>313</v>
      </c>
      <c r="E127" s="146"/>
      <c r="F127" s="147"/>
      <c r="G127" s="148"/>
      <c r="H127" s="148"/>
      <c r="I127" s="148"/>
      <c r="J127" s="148"/>
      <c r="K127" s="148"/>
      <c r="L127" s="148"/>
      <c r="M127" s="148"/>
      <c r="N127" s="148"/>
      <c r="O127" s="149"/>
      <c r="P127" s="147"/>
      <c r="Q127" s="148"/>
      <c r="R127" s="150"/>
      <c r="S127" s="1"/>
      <c r="T127" s="1"/>
      <c r="U127" s="1"/>
    </row>
    <row r="128" spans="1:21" ht="9.75" customHeight="1" x14ac:dyDescent="0.4">
      <c r="A128" s="1"/>
      <c r="B128" s="1" t="s">
        <v>395</v>
      </c>
      <c r="C128" s="264"/>
      <c r="D128" s="265" t="s">
        <v>314</v>
      </c>
      <c r="E128" s="265"/>
      <c r="F128" s="266"/>
      <c r="G128" s="267"/>
      <c r="H128" s="267"/>
      <c r="I128" s="267"/>
      <c r="J128" s="267"/>
      <c r="K128" s="267"/>
      <c r="L128" s="267"/>
      <c r="M128" s="267"/>
      <c r="N128" s="267"/>
      <c r="O128" s="268"/>
      <c r="P128" s="266"/>
      <c r="Q128" s="267"/>
      <c r="R128" s="269"/>
      <c r="S128" s="1"/>
      <c r="T128" s="1"/>
      <c r="U128" s="1"/>
    </row>
    <row r="129" spans="1:21" ht="9.75" customHeight="1" x14ac:dyDescent="0.4">
      <c r="A129" s="1"/>
      <c r="B129" s="1"/>
      <c r="C129" s="15" t="s">
        <v>159</v>
      </c>
      <c r="D129" s="15" t="s">
        <v>300</v>
      </c>
      <c r="E129" s="15"/>
      <c r="F129" s="73"/>
      <c r="G129" s="108"/>
      <c r="H129" s="108"/>
      <c r="I129" s="108"/>
      <c r="J129" s="108"/>
      <c r="K129" s="108"/>
      <c r="L129" s="108"/>
      <c r="M129" s="108"/>
      <c r="N129" s="108"/>
      <c r="O129" s="109"/>
      <c r="P129" s="73"/>
      <c r="Q129" s="108"/>
      <c r="R129" s="188"/>
      <c r="S129" s="1"/>
      <c r="T129" s="1"/>
      <c r="U129" s="1"/>
    </row>
    <row r="130" spans="1:21" ht="9.75" customHeight="1" x14ac:dyDescent="0.4">
      <c r="A130" s="1"/>
      <c r="B130" s="1"/>
      <c r="C130" s="17"/>
      <c r="D130" s="17" t="s">
        <v>301</v>
      </c>
      <c r="E130" s="17"/>
      <c r="F130" s="32"/>
      <c r="G130" s="6"/>
      <c r="H130" s="6"/>
      <c r="I130" s="6"/>
      <c r="J130" s="6"/>
      <c r="K130" s="6"/>
      <c r="L130" s="6"/>
      <c r="M130" s="6"/>
      <c r="N130" s="6"/>
      <c r="O130" s="31"/>
      <c r="P130" s="32"/>
      <c r="Q130" s="6"/>
      <c r="R130" s="59"/>
      <c r="S130" s="1"/>
      <c r="T130" s="1"/>
      <c r="U130" s="1"/>
    </row>
    <row r="131" spans="1:21" ht="9.75" customHeight="1" x14ac:dyDescent="0.4">
      <c r="A131" s="1"/>
      <c r="B131" s="1"/>
      <c r="C131" s="17"/>
      <c r="D131" s="17" t="s">
        <v>303</v>
      </c>
      <c r="E131" s="17"/>
      <c r="F131" s="32"/>
      <c r="G131" s="6"/>
      <c r="H131" s="6"/>
      <c r="I131" s="6"/>
      <c r="J131" s="6"/>
      <c r="K131" s="6"/>
      <c r="L131" s="6"/>
      <c r="M131" s="6"/>
      <c r="N131" s="6"/>
      <c r="O131" s="31"/>
      <c r="P131" s="32"/>
      <c r="Q131" s="6"/>
      <c r="R131" s="59"/>
      <c r="S131" s="1"/>
      <c r="T131" s="1"/>
      <c r="U131" s="1"/>
    </row>
    <row r="132" spans="1:21" ht="9.75" customHeight="1" x14ac:dyDescent="0.4">
      <c r="A132" s="1"/>
      <c r="B132" s="1"/>
      <c r="C132" s="17"/>
      <c r="D132" s="17" t="s">
        <v>369</v>
      </c>
      <c r="E132" s="17"/>
      <c r="F132" s="32"/>
      <c r="G132" s="6"/>
      <c r="H132" s="6"/>
      <c r="I132" s="6"/>
      <c r="J132" s="6"/>
      <c r="K132" s="6"/>
      <c r="L132" s="6"/>
      <c r="M132" s="6"/>
      <c r="N132" s="6"/>
      <c r="O132" s="31"/>
      <c r="P132" s="32"/>
      <c r="Q132" s="6"/>
      <c r="R132" s="59"/>
      <c r="S132" s="1"/>
      <c r="T132" s="1"/>
      <c r="U132" s="1"/>
    </row>
    <row r="133" spans="1:21" ht="9.75" customHeight="1" x14ac:dyDescent="0.4">
      <c r="A133" s="1"/>
      <c r="B133" s="1"/>
      <c r="C133" s="17"/>
      <c r="D133" s="17" t="s">
        <v>369</v>
      </c>
      <c r="E133" s="17"/>
      <c r="F133" s="32"/>
      <c r="G133" s="6"/>
      <c r="H133" s="6"/>
      <c r="I133" s="6"/>
      <c r="J133" s="6"/>
      <c r="K133" s="6"/>
      <c r="L133" s="6"/>
      <c r="M133" s="6"/>
      <c r="N133" s="6"/>
      <c r="O133" s="31"/>
      <c r="P133" s="32"/>
      <c r="Q133" s="6"/>
      <c r="R133" s="59"/>
      <c r="S133" s="1"/>
      <c r="T133" s="1"/>
      <c r="U133" s="1"/>
    </row>
    <row r="134" spans="1:21" ht="9.75" customHeight="1" x14ac:dyDescent="0.4">
      <c r="A134" s="1"/>
      <c r="B134" s="1"/>
      <c r="C134" s="17"/>
      <c r="D134" s="17" t="s">
        <v>308</v>
      </c>
      <c r="E134" s="17"/>
      <c r="F134" s="32"/>
      <c r="G134" s="6"/>
      <c r="H134" s="6"/>
      <c r="I134" s="6"/>
      <c r="J134" s="6"/>
      <c r="K134" s="6"/>
      <c r="L134" s="6"/>
      <c r="M134" s="6"/>
      <c r="N134" s="6"/>
      <c r="O134" s="31"/>
      <c r="P134" s="32"/>
      <c r="Q134" s="6"/>
      <c r="R134" s="59"/>
      <c r="S134" s="1"/>
      <c r="T134" s="1"/>
      <c r="U134" s="1"/>
    </row>
    <row r="135" spans="1:21" ht="9.75" customHeight="1" x14ac:dyDescent="0.4">
      <c r="A135" s="1"/>
      <c r="B135" s="1"/>
      <c r="C135" s="17"/>
      <c r="D135" s="17" t="s">
        <v>374</v>
      </c>
      <c r="E135" s="17"/>
      <c r="F135" s="32"/>
      <c r="G135" s="6"/>
      <c r="H135" s="6"/>
      <c r="I135" s="6"/>
      <c r="J135" s="6"/>
      <c r="K135" s="6"/>
      <c r="L135" s="6"/>
      <c r="M135" s="6"/>
      <c r="N135" s="6"/>
      <c r="O135" s="31"/>
      <c r="P135" s="32"/>
      <c r="Q135" s="6"/>
      <c r="R135" s="59"/>
      <c r="S135" s="1"/>
      <c r="T135" s="1"/>
      <c r="U135" s="1"/>
    </row>
    <row r="136" spans="1:21" ht="9.75" customHeight="1" x14ac:dyDescent="0.4">
      <c r="A136" s="1"/>
      <c r="B136" s="1"/>
      <c r="C136" s="17"/>
      <c r="D136" s="17" t="s">
        <v>374</v>
      </c>
      <c r="E136" s="17"/>
      <c r="F136" s="32"/>
      <c r="G136" s="6"/>
      <c r="H136" s="6"/>
      <c r="I136" s="6"/>
      <c r="J136" s="6"/>
      <c r="K136" s="6"/>
      <c r="L136" s="6"/>
      <c r="M136" s="6"/>
      <c r="N136" s="6"/>
      <c r="O136" s="31"/>
      <c r="P136" s="32"/>
      <c r="Q136" s="6"/>
      <c r="R136" s="59"/>
      <c r="S136" s="1"/>
      <c r="T136" s="1"/>
      <c r="U136" s="1"/>
    </row>
    <row r="137" spans="1:21" ht="9.75" customHeight="1" x14ac:dyDescent="0.4">
      <c r="A137" s="1"/>
      <c r="B137" s="1"/>
      <c r="C137" s="17"/>
      <c r="D137" s="17" t="s">
        <v>374</v>
      </c>
      <c r="E137" s="17"/>
      <c r="F137" s="32"/>
      <c r="G137" s="6"/>
      <c r="H137" s="6"/>
      <c r="I137" s="6"/>
      <c r="J137" s="6"/>
      <c r="K137" s="6"/>
      <c r="L137" s="6"/>
      <c r="M137" s="6"/>
      <c r="N137" s="6"/>
      <c r="O137" s="31"/>
      <c r="P137" s="32"/>
      <c r="Q137" s="6"/>
      <c r="R137" s="59"/>
      <c r="S137" s="1"/>
      <c r="T137" s="1"/>
      <c r="U137" s="1"/>
    </row>
    <row r="138" spans="1:21" ht="9.75" customHeight="1" x14ac:dyDescent="0.4">
      <c r="A138" s="1"/>
      <c r="B138" s="1"/>
      <c r="C138" s="17"/>
      <c r="D138" s="17" t="s">
        <v>374</v>
      </c>
      <c r="E138" s="17"/>
      <c r="F138" s="32"/>
      <c r="G138" s="6"/>
      <c r="H138" s="6"/>
      <c r="I138" s="6"/>
      <c r="J138" s="6"/>
      <c r="K138" s="6"/>
      <c r="L138" s="6"/>
      <c r="M138" s="6"/>
      <c r="N138" s="6"/>
      <c r="O138" s="31"/>
      <c r="P138" s="32"/>
      <c r="Q138" s="6"/>
      <c r="R138" s="59"/>
      <c r="S138" s="1"/>
      <c r="T138" s="1"/>
      <c r="U138" s="1"/>
    </row>
    <row r="139" spans="1:21" ht="9.75" customHeight="1" x14ac:dyDescent="0.4">
      <c r="A139" s="1"/>
      <c r="B139" s="1"/>
      <c r="C139" s="17"/>
      <c r="D139" s="17" t="s">
        <v>374</v>
      </c>
      <c r="E139" s="17"/>
      <c r="F139" s="32"/>
      <c r="G139" s="6"/>
      <c r="H139" s="6"/>
      <c r="I139" s="6"/>
      <c r="J139" s="6"/>
      <c r="K139" s="6"/>
      <c r="L139" s="6"/>
      <c r="M139" s="6"/>
      <c r="N139" s="6"/>
      <c r="O139" s="31"/>
      <c r="P139" s="32"/>
      <c r="Q139" s="6"/>
      <c r="R139" s="59"/>
      <c r="S139" s="1"/>
      <c r="T139" s="1"/>
      <c r="U139" s="1"/>
    </row>
    <row r="140" spans="1:21" ht="9.75" customHeight="1" x14ac:dyDescent="0.4">
      <c r="A140" s="1"/>
      <c r="B140" s="1"/>
      <c r="C140" s="17"/>
      <c r="D140" s="17" t="s">
        <v>374</v>
      </c>
      <c r="E140" s="17"/>
      <c r="F140" s="32"/>
      <c r="G140" s="6"/>
      <c r="H140" s="6"/>
      <c r="I140" s="6"/>
      <c r="J140" s="6"/>
      <c r="K140" s="6"/>
      <c r="L140" s="6"/>
      <c r="M140" s="6"/>
      <c r="N140" s="6"/>
      <c r="O140" s="31"/>
      <c r="P140" s="32"/>
      <c r="Q140" s="6"/>
      <c r="R140" s="59"/>
      <c r="S140" s="1"/>
      <c r="T140" s="1"/>
      <c r="U140" s="1"/>
    </row>
    <row r="141" spans="1:21" ht="9.75" customHeight="1" x14ac:dyDescent="0.4">
      <c r="A141" s="1"/>
      <c r="B141" s="1"/>
      <c r="C141" s="17"/>
      <c r="D141" s="17" t="s">
        <v>310</v>
      </c>
      <c r="E141" s="17"/>
      <c r="F141" s="32"/>
      <c r="G141" s="6"/>
      <c r="H141" s="6"/>
      <c r="I141" s="6"/>
      <c r="J141" s="6"/>
      <c r="K141" s="6"/>
      <c r="L141" s="6"/>
      <c r="M141" s="6"/>
      <c r="N141" s="6"/>
      <c r="O141" s="31"/>
      <c r="P141" s="32"/>
      <c r="Q141" s="6"/>
      <c r="R141" s="59"/>
      <c r="S141" s="1"/>
      <c r="T141" s="1"/>
      <c r="U141" s="1"/>
    </row>
    <row r="142" spans="1:21" ht="9.75" customHeight="1" x14ac:dyDescent="0.4">
      <c r="A142" s="1"/>
      <c r="B142" s="1"/>
      <c r="C142" s="17"/>
      <c r="D142" s="17" t="s">
        <v>311</v>
      </c>
      <c r="E142" s="17"/>
      <c r="F142" s="32"/>
      <c r="G142" s="6"/>
      <c r="H142" s="6"/>
      <c r="I142" s="6"/>
      <c r="J142" s="6"/>
      <c r="K142" s="6"/>
      <c r="L142" s="6"/>
      <c r="M142" s="6"/>
      <c r="N142" s="6"/>
      <c r="O142" s="31"/>
      <c r="P142" s="32"/>
      <c r="Q142" s="6"/>
      <c r="R142" s="59"/>
      <c r="S142" s="1"/>
      <c r="T142" s="1"/>
      <c r="U142" s="1"/>
    </row>
    <row r="143" spans="1:21" ht="9.75" customHeight="1" x14ac:dyDescent="0.4">
      <c r="A143" s="1"/>
      <c r="B143" s="1"/>
      <c r="C143" s="17"/>
      <c r="D143" s="28" t="s">
        <v>312</v>
      </c>
      <c r="E143" s="28">
        <v>4</v>
      </c>
      <c r="F143" s="32">
        <v>3</v>
      </c>
      <c r="G143" s="6">
        <v>3</v>
      </c>
      <c r="H143" s="6">
        <v>3</v>
      </c>
      <c r="I143" s="6">
        <v>2</v>
      </c>
      <c r="J143" s="6">
        <v>2</v>
      </c>
      <c r="K143" s="74">
        <v>1</v>
      </c>
      <c r="L143" s="74">
        <v>2</v>
      </c>
      <c r="M143" s="74">
        <v>2</v>
      </c>
      <c r="N143" s="74">
        <v>2</v>
      </c>
      <c r="O143" s="123">
        <v>2</v>
      </c>
      <c r="P143" s="32">
        <f>MIN(F143:O143)</f>
        <v>1</v>
      </c>
      <c r="Q143" s="6">
        <f>E143-P143</f>
        <v>3</v>
      </c>
      <c r="R143" s="59">
        <f>Q143/E143</f>
        <v>0.75</v>
      </c>
      <c r="S143" s="1"/>
      <c r="T143" s="1"/>
      <c r="U143" s="1"/>
    </row>
    <row r="144" spans="1:21" ht="9.75" customHeight="1" x14ac:dyDescent="0.4">
      <c r="A144" s="1"/>
      <c r="B144" s="1"/>
      <c r="C144" s="17"/>
      <c r="D144" s="17" t="s">
        <v>313</v>
      </c>
      <c r="E144" s="17"/>
      <c r="F144" s="32"/>
      <c r="G144" s="6"/>
      <c r="H144" s="6"/>
      <c r="I144" s="6"/>
      <c r="J144" s="6"/>
      <c r="K144" s="6"/>
      <c r="L144" s="6"/>
      <c r="M144" s="6"/>
      <c r="N144" s="6"/>
      <c r="O144" s="31"/>
      <c r="P144" s="32"/>
      <c r="Q144" s="6"/>
      <c r="R144" s="59"/>
      <c r="S144" s="1"/>
      <c r="T144" s="1"/>
      <c r="U144" s="1"/>
    </row>
    <row r="145" spans="1:21" ht="9.75" customHeight="1" x14ac:dyDescent="0.4">
      <c r="A145" s="1"/>
      <c r="B145" s="1"/>
      <c r="C145" s="34"/>
      <c r="D145" s="270" t="s">
        <v>314</v>
      </c>
      <c r="E145" s="270">
        <f t="shared" ref="E145:O145" si="5">SUM(E129:E144)</f>
        <v>4</v>
      </c>
      <c r="F145" s="271">
        <f t="shared" si="5"/>
        <v>3</v>
      </c>
      <c r="G145" s="272">
        <f t="shared" si="5"/>
        <v>3</v>
      </c>
      <c r="H145" s="272">
        <f t="shared" si="5"/>
        <v>3</v>
      </c>
      <c r="I145" s="272">
        <f t="shared" si="5"/>
        <v>2</v>
      </c>
      <c r="J145" s="272">
        <f t="shared" si="5"/>
        <v>2</v>
      </c>
      <c r="K145" s="272">
        <f t="shared" si="5"/>
        <v>1</v>
      </c>
      <c r="L145" s="272">
        <f t="shared" si="5"/>
        <v>2</v>
      </c>
      <c r="M145" s="272">
        <f t="shared" si="5"/>
        <v>2</v>
      </c>
      <c r="N145" s="272">
        <f t="shared" si="5"/>
        <v>2</v>
      </c>
      <c r="O145" s="273">
        <f t="shared" si="5"/>
        <v>2</v>
      </c>
      <c r="P145" s="271">
        <f>MIN(F145:O145)</f>
        <v>1</v>
      </c>
      <c r="Q145" s="272">
        <f>E145-P145</f>
        <v>3</v>
      </c>
      <c r="R145" s="274">
        <f>Q145/E145</f>
        <v>0.75</v>
      </c>
      <c r="S145" s="1"/>
      <c r="T145" s="1"/>
      <c r="U145" s="1"/>
    </row>
    <row r="146" spans="1:21" ht="9.75" customHeight="1" x14ac:dyDescent="0.4">
      <c r="A146" s="1"/>
      <c r="B146" s="1"/>
      <c r="C146" s="24" t="s">
        <v>173</v>
      </c>
      <c r="D146" s="19" t="s">
        <v>300</v>
      </c>
      <c r="E146" s="19"/>
      <c r="F146" s="134"/>
      <c r="G146" s="135"/>
      <c r="H146" s="135"/>
      <c r="I146" s="135"/>
      <c r="J146" s="135"/>
      <c r="K146" s="275"/>
      <c r="L146" s="275"/>
      <c r="M146" s="275"/>
      <c r="N146" s="275"/>
      <c r="O146" s="276"/>
      <c r="P146" s="134"/>
      <c r="Q146" s="222"/>
      <c r="R146" s="224"/>
      <c r="S146" s="1"/>
      <c r="T146" s="1"/>
      <c r="U146" s="1"/>
    </row>
    <row r="147" spans="1:21" ht="9.75" customHeight="1" x14ac:dyDescent="0.4">
      <c r="A147" s="1"/>
      <c r="B147" s="1"/>
      <c r="C147" s="24" t="s">
        <v>396</v>
      </c>
      <c r="D147" s="24" t="s">
        <v>301</v>
      </c>
      <c r="E147" s="24"/>
      <c r="F147" s="134"/>
      <c r="G147" s="135"/>
      <c r="H147" s="135"/>
      <c r="I147" s="135"/>
      <c r="J147" s="135"/>
      <c r="K147" s="135"/>
      <c r="L147" s="135"/>
      <c r="M147" s="135"/>
      <c r="N147" s="135"/>
      <c r="O147" s="136"/>
      <c r="P147" s="134"/>
      <c r="Q147" s="135"/>
      <c r="R147" s="137"/>
      <c r="S147" s="1"/>
      <c r="T147" s="1"/>
      <c r="U147" s="1"/>
    </row>
    <row r="148" spans="1:21" ht="9.75" customHeight="1" x14ac:dyDescent="0.4">
      <c r="A148" s="1"/>
      <c r="B148" s="1"/>
      <c r="C148" s="24" t="s">
        <v>330</v>
      </c>
      <c r="D148" s="24" t="s">
        <v>303</v>
      </c>
      <c r="E148" s="24"/>
      <c r="F148" s="134"/>
      <c r="G148" s="135"/>
      <c r="H148" s="135"/>
      <c r="I148" s="135"/>
      <c r="J148" s="135"/>
      <c r="K148" s="135"/>
      <c r="L148" s="135"/>
      <c r="M148" s="135"/>
      <c r="N148" s="135"/>
      <c r="O148" s="136"/>
      <c r="P148" s="134"/>
      <c r="Q148" s="135"/>
      <c r="R148" s="137"/>
      <c r="S148" s="1"/>
      <c r="T148" s="1"/>
      <c r="U148" s="1"/>
    </row>
    <row r="149" spans="1:21" ht="9.75" customHeight="1" x14ac:dyDescent="0.4">
      <c r="A149" s="1"/>
      <c r="B149" s="1"/>
      <c r="C149" s="24"/>
      <c r="D149" s="24" t="s">
        <v>369</v>
      </c>
      <c r="E149" s="24"/>
      <c r="F149" s="134"/>
      <c r="G149" s="135"/>
      <c r="H149" s="135"/>
      <c r="I149" s="135"/>
      <c r="J149" s="135"/>
      <c r="K149" s="135"/>
      <c r="L149" s="135"/>
      <c r="M149" s="135"/>
      <c r="N149" s="135"/>
      <c r="O149" s="136"/>
      <c r="P149" s="134"/>
      <c r="Q149" s="135"/>
      <c r="R149" s="137"/>
      <c r="S149" s="1"/>
      <c r="T149" s="1"/>
      <c r="U149" s="1"/>
    </row>
    <row r="150" spans="1:21" ht="9.75" customHeight="1" x14ac:dyDescent="0.4">
      <c r="A150" s="1"/>
      <c r="B150" s="1"/>
      <c r="C150" s="24"/>
      <c r="D150" s="24" t="s">
        <v>369</v>
      </c>
      <c r="E150" s="24"/>
      <c r="F150" s="134"/>
      <c r="G150" s="135"/>
      <c r="H150" s="135"/>
      <c r="I150" s="135"/>
      <c r="J150" s="135"/>
      <c r="K150" s="135"/>
      <c r="L150" s="135"/>
      <c r="M150" s="135"/>
      <c r="N150" s="135"/>
      <c r="O150" s="136"/>
      <c r="P150" s="134"/>
      <c r="Q150" s="135"/>
      <c r="R150" s="137"/>
      <c r="S150" s="1"/>
      <c r="T150" s="1"/>
      <c r="U150" s="1"/>
    </row>
    <row r="151" spans="1:21" ht="9.75" customHeight="1" x14ac:dyDescent="0.4">
      <c r="A151" s="1"/>
      <c r="B151" s="1"/>
      <c r="C151" s="24"/>
      <c r="D151" s="24" t="s">
        <v>308</v>
      </c>
      <c r="E151" s="24"/>
      <c r="F151" s="134"/>
      <c r="G151" s="135"/>
      <c r="H151" s="135"/>
      <c r="I151" s="135"/>
      <c r="J151" s="135"/>
      <c r="K151" s="135"/>
      <c r="L151" s="135"/>
      <c r="M151" s="135"/>
      <c r="N151" s="135"/>
      <c r="O151" s="136"/>
      <c r="P151" s="134"/>
      <c r="Q151" s="135"/>
      <c r="R151" s="137"/>
      <c r="S151" s="1"/>
      <c r="T151" s="1"/>
      <c r="U151" s="1"/>
    </row>
    <row r="152" spans="1:21" ht="9.75" customHeight="1" x14ac:dyDescent="0.4">
      <c r="A152" s="1"/>
      <c r="B152" s="1"/>
      <c r="C152" s="24"/>
      <c r="D152" s="24" t="s">
        <v>374</v>
      </c>
      <c r="E152" s="24"/>
      <c r="F152" s="134"/>
      <c r="G152" s="135"/>
      <c r="H152" s="135"/>
      <c r="I152" s="135"/>
      <c r="J152" s="135"/>
      <c r="K152" s="135"/>
      <c r="L152" s="135"/>
      <c r="M152" s="135"/>
      <c r="N152" s="135"/>
      <c r="O152" s="136"/>
      <c r="P152" s="134"/>
      <c r="Q152" s="135"/>
      <c r="R152" s="137"/>
      <c r="S152" s="1"/>
      <c r="T152" s="1"/>
      <c r="U152" s="1"/>
    </row>
    <row r="153" spans="1:21" ht="9.75" customHeight="1" x14ac:dyDescent="0.4">
      <c r="A153" s="1"/>
      <c r="B153" s="1"/>
      <c r="C153" s="24"/>
      <c r="D153" s="24" t="s">
        <v>374</v>
      </c>
      <c r="E153" s="24"/>
      <c r="F153" s="134"/>
      <c r="G153" s="135"/>
      <c r="H153" s="135"/>
      <c r="I153" s="135"/>
      <c r="J153" s="135"/>
      <c r="K153" s="135"/>
      <c r="L153" s="135"/>
      <c r="M153" s="135"/>
      <c r="N153" s="135"/>
      <c r="O153" s="136"/>
      <c r="P153" s="134"/>
      <c r="Q153" s="135"/>
      <c r="R153" s="137"/>
      <c r="S153" s="1"/>
      <c r="T153" s="1"/>
      <c r="U153" s="1"/>
    </row>
    <row r="154" spans="1:21" ht="9.75" customHeight="1" x14ac:dyDescent="0.4">
      <c r="A154" s="1"/>
      <c r="B154" s="1"/>
      <c r="C154" s="24"/>
      <c r="D154" s="24" t="s">
        <v>374</v>
      </c>
      <c r="E154" s="24"/>
      <c r="F154" s="134"/>
      <c r="G154" s="135"/>
      <c r="H154" s="135"/>
      <c r="I154" s="135"/>
      <c r="J154" s="135"/>
      <c r="K154" s="135"/>
      <c r="L154" s="135"/>
      <c r="M154" s="135"/>
      <c r="N154" s="135"/>
      <c r="O154" s="136"/>
      <c r="P154" s="134"/>
      <c r="Q154" s="135"/>
      <c r="R154" s="137"/>
      <c r="S154" s="1"/>
      <c r="T154" s="1"/>
      <c r="U154" s="1"/>
    </row>
    <row r="155" spans="1:21" ht="9.75" customHeight="1" x14ac:dyDescent="0.4">
      <c r="A155" s="1"/>
      <c r="B155" s="1"/>
      <c r="C155" s="24"/>
      <c r="D155" s="24" t="s">
        <v>374</v>
      </c>
      <c r="E155" s="24"/>
      <c r="F155" s="134"/>
      <c r="G155" s="135"/>
      <c r="H155" s="135"/>
      <c r="I155" s="135"/>
      <c r="J155" s="135"/>
      <c r="K155" s="135"/>
      <c r="L155" s="135"/>
      <c r="M155" s="135"/>
      <c r="N155" s="135"/>
      <c r="O155" s="136"/>
      <c r="P155" s="134"/>
      <c r="Q155" s="135"/>
      <c r="R155" s="137"/>
      <c r="S155" s="1"/>
      <c r="T155" s="1"/>
      <c r="U155" s="1"/>
    </row>
    <row r="156" spans="1:21" ht="9.75" customHeight="1" x14ac:dyDescent="0.4">
      <c r="A156" s="1"/>
      <c r="B156" s="1"/>
      <c r="C156" s="24"/>
      <c r="D156" s="24" t="s">
        <v>374</v>
      </c>
      <c r="E156" s="24"/>
      <c r="F156" s="134"/>
      <c r="G156" s="135"/>
      <c r="H156" s="135"/>
      <c r="I156" s="135"/>
      <c r="J156" s="135"/>
      <c r="K156" s="135"/>
      <c r="L156" s="135"/>
      <c r="M156" s="135"/>
      <c r="N156" s="135"/>
      <c r="O156" s="136"/>
      <c r="P156" s="134"/>
      <c r="Q156" s="135"/>
      <c r="R156" s="137"/>
      <c r="S156" s="1"/>
      <c r="T156" s="1"/>
      <c r="U156" s="1"/>
    </row>
    <row r="157" spans="1:21" ht="9.75" customHeight="1" x14ac:dyDescent="0.4">
      <c r="A157" s="1"/>
      <c r="B157" s="1"/>
      <c r="C157" s="24"/>
      <c r="D157" s="24" t="s">
        <v>374</v>
      </c>
      <c r="E157" s="24"/>
      <c r="F157" s="134"/>
      <c r="G157" s="135"/>
      <c r="H157" s="135"/>
      <c r="I157" s="135"/>
      <c r="J157" s="135"/>
      <c r="K157" s="135"/>
      <c r="L157" s="135"/>
      <c r="M157" s="135"/>
      <c r="N157" s="135"/>
      <c r="O157" s="136"/>
      <c r="P157" s="134"/>
      <c r="Q157" s="135"/>
      <c r="R157" s="137"/>
      <c r="S157" s="1"/>
      <c r="T157" s="1"/>
      <c r="U157" s="1"/>
    </row>
    <row r="158" spans="1:21" ht="9.75" customHeight="1" x14ac:dyDescent="0.4">
      <c r="A158" s="1"/>
      <c r="B158" s="1"/>
      <c r="C158" s="24"/>
      <c r="D158" s="24" t="s">
        <v>310</v>
      </c>
      <c r="E158" s="24"/>
      <c r="F158" s="134"/>
      <c r="G158" s="135"/>
      <c r="H158" s="135"/>
      <c r="I158" s="135"/>
      <c r="J158" s="135"/>
      <c r="K158" s="135"/>
      <c r="L158" s="135"/>
      <c r="M158" s="135"/>
      <c r="N158" s="135"/>
      <c r="O158" s="136"/>
      <c r="P158" s="134"/>
      <c r="Q158" s="135"/>
      <c r="R158" s="137"/>
      <c r="S158" s="1"/>
      <c r="T158" s="1"/>
      <c r="U158" s="1"/>
    </row>
    <row r="159" spans="1:21" ht="9.75" customHeight="1" x14ac:dyDescent="0.4">
      <c r="A159" s="1"/>
      <c r="B159" s="1"/>
      <c r="C159" s="24"/>
      <c r="D159" s="24" t="s">
        <v>311</v>
      </c>
      <c r="E159" s="24"/>
      <c r="F159" s="134"/>
      <c r="G159" s="135"/>
      <c r="H159" s="135"/>
      <c r="I159" s="135"/>
      <c r="J159" s="135"/>
      <c r="K159" s="135"/>
      <c r="L159" s="135"/>
      <c r="M159" s="135"/>
      <c r="N159" s="135"/>
      <c r="O159" s="136"/>
      <c r="P159" s="134"/>
      <c r="Q159" s="135"/>
      <c r="R159" s="137"/>
      <c r="S159" s="1"/>
      <c r="T159" s="1"/>
      <c r="U159" s="1"/>
    </row>
    <row r="160" spans="1:21" ht="9.75" customHeight="1" x14ac:dyDescent="0.4">
      <c r="A160" s="1"/>
      <c r="B160" s="1"/>
      <c r="C160" s="24"/>
      <c r="D160" s="24" t="s">
        <v>312</v>
      </c>
      <c r="E160" s="24"/>
      <c r="F160" s="134"/>
      <c r="G160" s="135"/>
      <c r="H160" s="135"/>
      <c r="I160" s="135"/>
      <c r="J160" s="135"/>
      <c r="K160" s="135"/>
      <c r="L160" s="135"/>
      <c r="M160" s="135"/>
      <c r="N160" s="135"/>
      <c r="O160" s="136"/>
      <c r="P160" s="134"/>
      <c r="Q160" s="135"/>
      <c r="R160" s="137"/>
      <c r="S160" s="1"/>
      <c r="T160" s="1"/>
      <c r="U160" s="1"/>
    </row>
    <row r="161" spans="1:21" ht="9.75" customHeight="1" x14ac:dyDescent="0.4">
      <c r="A161" s="1"/>
      <c r="B161" s="1"/>
      <c r="C161" s="24"/>
      <c r="D161" s="24" t="s">
        <v>313</v>
      </c>
      <c r="E161" s="24"/>
      <c r="F161" s="134"/>
      <c r="G161" s="135"/>
      <c r="H161" s="135"/>
      <c r="I161" s="135"/>
      <c r="J161" s="135"/>
      <c r="K161" s="135"/>
      <c r="L161" s="135"/>
      <c r="M161" s="135"/>
      <c r="N161" s="135"/>
      <c r="O161" s="136"/>
      <c r="P161" s="134"/>
      <c r="Q161" s="135"/>
      <c r="R161" s="137"/>
      <c r="S161" s="1"/>
      <c r="T161" s="1"/>
      <c r="U161" s="1"/>
    </row>
    <row r="162" spans="1:21" ht="9.75" customHeight="1" x14ac:dyDescent="0.4">
      <c r="A162" s="1"/>
      <c r="B162" s="1"/>
      <c r="C162" s="24"/>
      <c r="D162" s="141" t="s">
        <v>314</v>
      </c>
      <c r="E162" s="141"/>
      <c r="F162" s="142"/>
      <c r="G162" s="143"/>
      <c r="H162" s="143"/>
      <c r="I162" s="143"/>
      <c r="J162" s="143"/>
      <c r="K162" s="242"/>
      <c r="L162" s="242"/>
      <c r="M162" s="242"/>
      <c r="N162" s="242"/>
      <c r="O162" s="243"/>
      <c r="P162" s="142"/>
      <c r="Q162" s="143"/>
      <c r="R162" s="145"/>
      <c r="S162" s="1"/>
      <c r="T162" s="1"/>
      <c r="U162" s="1"/>
    </row>
    <row r="163" spans="1:21" ht="9.75" customHeight="1" x14ac:dyDescent="0.4">
      <c r="A163" s="1"/>
      <c r="B163" s="1"/>
      <c r="C163" s="15" t="s">
        <v>184</v>
      </c>
      <c r="D163" s="15" t="s">
        <v>300</v>
      </c>
      <c r="E163" s="15"/>
      <c r="F163" s="73"/>
      <c r="G163" s="108"/>
      <c r="H163" s="108"/>
      <c r="I163" s="108"/>
      <c r="J163" s="108"/>
      <c r="K163" s="108"/>
      <c r="L163" s="108"/>
      <c r="M163" s="108"/>
      <c r="N163" s="108"/>
      <c r="O163" s="109"/>
      <c r="P163" s="73"/>
      <c r="Q163" s="108"/>
      <c r="R163" s="188"/>
      <c r="S163" s="1"/>
      <c r="T163" s="1"/>
      <c r="U163" s="1"/>
    </row>
    <row r="164" spans="1:21" ht="9.75" customHeight="1" x14ac:dyDescent="0.4">
      <c r="A164" s="1"/>
      <c r="B164" s="1"/>
      <c r="C164" s="17"/>
      <c r="D164" s="17" t="s">
        <v>301</v>
      </c>
      <c r="E164" s="17"/>
      <c r="F164" s="32"/>
      <c r="G164" s="6"/>
      <c r="H164" s="6"/>
      <c r="I164" s="6"/>
      <c r="J164" s="6"/>
      <c r="K164" s="6"/>
      <c r="L164" s="6"/>
      <c r="M164" s="6"/>
      <c r="N164" s="6"/>
      <c r="O164" s="31"/>
      <c r="P164" s="32"/>
      <c r="Q164" s="6"/>
      <c r="R164" s="59"/>
      <c r="S164" s="1"/>
      <c r="T164" s="1"/>
      <c r="U164" s="1"/>
    </row>
    <row r="165" spans="1:21" ht="9.75" customHeight="1" x14ac:dyDescent="0.4">
      <c r="A165" s="1"/>
      <c r="B165" s="1"/>
      <c r="C165" s="17"/>
      <c r="D165" s="17" t="s">
        <v>303</v>
      </c>
      <c r="E165" s="17"/>
      <c r="F165" s="32"/>
      <c r="G165" s="6"/>
      <c r="H165" s="6"/>
      <c r="I165" s="6"/>
      <c r="J165" s="6"/>
      <c r="K165" s="6"/>
      <c r="L165" s="6"/>
      <c r="M165" s="6"/>
      <c r="N165" s="6"/>
      <c r="O165" s="31"/>
      <c r="P165" s="32"/>
      <c r="Q165" s="6"/>
      <c r="R165" s="59"/>
      <c r="S165" s="1"/>
      <c r="T165" s="1"/>
      <c r="U165" s="1"/>
    </row>
    <row r="166" spans="1:21" ht="9.75" customHeight="1" x14ac:dyDescent="0.4">
      <c r="A166" s="1"/>
      <c r="B166" s="1"/>
      <c r="C166" s="17"/>
      <c r="D166" s="17" t="s">
        <v>369</v>
      </c>
      <c r="E166" s="17"/>
      <c r="F166" s="32"/>
      <c r="G166" s="6"/>
      <c r="H166" s="6"/>
      <c r="I166" s="6"/>
      <c r="J166" s="6"/>
      <c r="K166" s="6"/>
      <c r="L166" s="6"/>
      <c r="M166" s="6"/>
      <c r="N166" s="6"/>
      <c r="O166" s="31"/>
      <c r="P166" s="32"/>
      <c r="Q166" s="6"/>
      <c r="R166" s="59"/>
      <c r="S166" s="1"/>
      <c r="T166" s="1"/>
      <c r="U166" s="1"/>
    </row>
    <row r="167" spans="1:21" ht="9.75" customHeight="1" x14ac:dyDescent="0.4">
      <c r="A167" s="1"/>
      <c r="B167" s="1"/>
      <c r="C167" s="17"/>
      <c r="D167" s="17" t="s">
        <v>369</v>
      </c>
      <c r="E167" s="17"/>
      <c r="F167" s="32"/>
      <c r="G167" s="6"/>
      <c r="H167" s="6"/>
      <c r="I167" s="6"/>
      <c r="J167" s="6"/>
      <c r="K167" s="6"/>
      <c r="L167" s="6"/>
      <c r="M167" s="6"/>
      <c r="N167" s="6"/>
      <c r="O167" s="31"/>
      <c r="P167" s="32"/>
      <c r="Q167" s="6"/>
      <c r="R167" s="59"/>
      <c r="S167" s="1"/>
      <c r="T167" s="1"/>
      <c r="U167" s="1"/>
    </row>
    <row r="168" spans="1:21" ht="9.75" customHeight="1" x14ac:dyDescent="0.4">
      <c r="A168" s="1"/>
      <c r="B168" s="1"/>
      <c r="C168" s="17"/>
      <c r="D168" s="17" t="s">
        <v>308</v>
      </c>
      <c r="E168" s="17"/>
      <c r="F168" s="32"/>
      <c r="G168" s="6"/>
      <c r="H168" s="6"/>
      <c r="I168" s="6"/>
      <c r="J168" s="6"/>
      <c r="K168" s="6"/>
      <c r="L168" s="6"/>
      <c r="M168" s="6"/>
      <c r="N168" s="6"/>
      <c r="O168" s="31"/>
      <c r="P168" s="32"/>
      <c r="Q168" s="6"/>
      <c r="R168" s="59"/>
      <c r="S168" s="1"/>
      <c r="T168" s="1"/>
      <c r="U168" s="1"/>
    </row>
    <row r="169" spans="1:21" ht="9.75" customHeight="1" x14ac:dyDescent="0.4">
      <c r="A169" s="1"/>
      <c r="B169" s="1"/>
      <c r="C169" s="17"/>
      <c r="D169" s="17" t="s">
        <v>374</v>
      </c>
      <c r="E169" s="17"/>
      <c r="F169" s="32"/>
      <c r="G169" s="6"/>
      <c r="H169" s="6"/>
      <c r="I169" s="6"/>
      <c r="J169" s="6"/>
      <c r="K169" s="6"/>
      <c r="L169" s="6"/>
      <c r="M169" s="6"/>
      <c r="N169" s="6"/>
      <c r="O169" s="31"/>
      <c r="P169" s="32"/>
      <c r="Q169" s="6"/>
      <c r="R169" s="59"/>
      <c r="S169" s="1"/>
      <c r="T169" s="1"/>
      <c r="U169" s="1"/>
    </row>
    <row r="170" spans="1:21" ht="9.75" customHeight="1" x14ac:dyDescent="0.4">
      <c r="A170" s="1"/>
      <c r="B170" s="1"/>
      <c r="C170" s="17"/>
      <c r="D170" s="17" t="s">
        <v>374</v>
      </c>
      <c r="E170" s="17"/>
      <c r="F170" s="32"/>
      <c r="G170" s="6"/>
      <c r="H170" s="6"/>
      <c r="I170" s="6"/>
      <c r="J170" s="6"/>
      <c r="K170" s="6"/>
      <c r="L170" s="6"/>
      <c r="M170" s="6"/>
      <c r="N170" s="6"/>
      <c r="O170" s="31"/>
      <c r="P170" s="32"/>
      <c r="Q170" s="6"/>
      <c r="R170" s="59"/>
      <c r="S170" s="1"/>
      <c r="T170" s="1"/>
      <c r="U170" s="1"/>
    </row>
    <row r="171" spans="1:21" ht="9.75" customHeight="1" x14ac:dyDescent="0.4">
      <c r="A171" s="1"/>
      <c r="B171" s="1"/>
      <c r="C171" s="17"/>
      <c r="D171" s="17" t="s">
        <v>374</v>
      </c>
      <c r="E171" s="17"/>
      <c r="F171" s="32"/>
      <c r="G171" s="6"/>
      <c r="H171" s="6"/>
      <c r="I171" s="6"/>
      <c r="J171" s="6"/>
      <c r="K171" s="6"/>
      <c r="L171" s="6"/>
      <c r="M171" s="6"/>
      <c r="N171" s="6"/>
      <c r="O171" s="31"/>
      <c r="P171" s="32"/>
      <c r="Q171" s="6"/>
      <c r="R171" s="59"/>
      <c r="S171" s="1"/>
      <c r="T171" s="1"/>
      <c r="U171" s="1"/>
    </row>
    <row r="172" spans="1:21" ht="9.75" customHeight="1" x14ac:dyDescent="0.4">
      <c r="A172" s="1"/>
      <c r="B172" s="1"/>
      <c r="C172" s="17"/>
      <c r="D172" s="17" t="s">
        <v>374</v>
      </c>
      <c r="E172" s="17"/>
      <c r="F172" s="32"/>
      <c r="G172" s="6"/>
      <c r="H172" s="6"/>
      <c r="I172" s="6"/>
      <c r="J172" s="6"/>
      <c r="K172" s="6"/>
      <c r="L172" s="6"/>
      <c r="M172" s="6"/>
      <c r="N172" s="6"/>
      <c r="O172" s="31"/>
      <c r="P172" s="32"/>
      <c r="Q172" s="6"/>
      <c r="R172" s="59"/>
      <c r="S172" s="1"/>
      <c r="T172" s="1"/>
      <c r="U172" s="1"/>
    </row>
    <row r="173" spans="1:21" ht="9.75" customHeight="1" x14ac:dyDescent="0.4">
      <c r="A173" s="1"/>
      <c r="B173" s="1"/>
      <c r="C173" s="17"/>
      <c r="D173" s="17" t="s">
        <v>374</v>
      </c>
      <c r="E173" s="17"/>
      <c r="F173" s="32"/>
      <c r="G173" s="6"/>
      <c r="H173" s="6"/>
      <c r="I173" s="6"/>
      <c r="J173" s="6"/>
      <c r="K173" s="6"/>
      <c r="L173" s="6"/>
      <c r="M173" s="6"/>
      <c r="N173" s="6"/>
      <c r="O173" s="31"/>
      <c r="P173" s="32"/>
      <c r="Q173" s="6"/>
      <c r="R173" s="59"/>
      <c r="S173" s="1"/>
      <c r="T173" s="1"/>
      <c r="U173" s="1"/>
    </row>
    <row r="174" spans="1:21" ht="9.75" customHeight="1" x14ac:dyDescent="0.4">
      <c r="A174" s="1"/>
      <c r="B174" s="1"/>
      <c r="C174" s="17"/>
      <c r="D174" s="17" t="s">
        <v>374</v>
      </c>
      <c r="E174" s="17"/>
      <c r="F174" s="32"/>
      <c r="G174" s="6"/>
      <c r="H174" s="6"/>
      <c r="I174" s="6"/>
      <c r="J174" s="6"/>
      <c r="K174" s="6"/>
      <c r="L174" s="6"/>
      <c r="M174" s="6"/>
      <c r="N174" s="6"/>
      <c r="O174" s="31"/>
      <c r="P174" s="32"/>
      <c r="Q174" s="6"/>
      <c r="R174" s="59"/>
      <c r="S174" s="1"/>
      <c r="T174" s="1"/>
      <c r="U174" s="1"/>
    </row>
    <row r="175" spans="1:21" ht="9.75" customHeight="1" x14ac:dyDescent="0.4">
      <c r="A175" s="1"/>
      <c r="B175" s="1"/>
      <c r="C175" s="17"/>
      <c r="D175" s="17" t="s">
        <v>310</v>
      </c>
      <c r="E175" s="17"/>
      <c r="F175" s="32"/>
      <c r="G175" s="6"/>
      <c r="H175" s="6"/>
      <c r="I175" s="6"/>
      <c r="J175" s="6"/>
      <c r="K175" s="6"/>
      <c r="L175" s="6"/>
      <c r="M175" s="6"/>
      <c r="N175" s="6"/>
      <c r="O175" s="31"/>
      <c r="P175" s="32"/>
      <c r="Q175" s="6"/>
      <c r="R175" s="59"/>
      <c r="S175" s="1"/>
      <c r="T175" s="1"/>
      <c r="U175" s="1"/>
    </row>
    <row r="176" spans="1:21" ht="9.75" customHeight="1" x14ac:dyDescent="0.4">
      <c r="A176" s="1"/>
      <c r="B176" s="1"/>
      <c r="C176" s="17"/>
      <c r="D176" s="17" t="s">
        <v>311</v>
      </c>
      <c r="E176" s="17"/>
      <c r="F176" s="32"/>
      <c r="G176" s="6"/>
      <c r="H176" s="6"/>
      <c r="I176" s="6"/>
      <c r="J176" s="6"/>
      <c r="K176" s="192"/>
      <c r="L176" s="192"/>
      <c r="M176" s="192"/>
      <c r="N176" s="192"/>
      <c r="O176" s="193"/>
      <c r="P176" s="32"/>
      <c r="Q176" s="6"/>
      <c r="R176" s="59"/>
      <c r="S176" s="1"/>
      <c r="T176" s="1"/>
      <c r="U176" s="1"/>
    </row>
    <row r="177" spans="1:21" ht="9.75" customHeight="1" x14ac:dyDescent="0.4">
      <c r="A177" s="1"/>
      <c r="B177" s="1"/>
      <c r="C177" s="17"/>
      <c r="D177" s="17" t="s">
        <v>312</v>
      </c>
      <c r="E177" s="17">
        <v>7</v>
      </c>
      <c r="F177" s="32">
        <v>2</v>
      </c>
      <c r="G177" s="6">
        <v>1</v>
      </c>
      <c r="H177" s="6">
        <v>1</v>
      </c>
      <c r="I177" s="6">
        <v>1</v>
      </c>
      <c r="J177" s="6">
        <v>1</v>
      </c>
      <c r="K177" s="6">
        <v>2</v>
      </c>
      <c r="L177" s="6">
        <v>2</v>
      </c>
      <c r="M177" s="6">
        <v>0</v>
      </c>
      <c r="N177" s="6">
        <v>1</v>
      </c>
      <c r="O177" s="31">
        <v>1</v>
      </c>
      <c r="P177" s="32">
        <f>MIN(F177:O177)</f>
        <v>0</v>
      </c>
      <c r="Q177" s="6">
        <f>E177-P177</f>
        <v>7</v>
      </c>
      <c r="R177" s="59">
        <f>Q177/E177</f>
        <v>1</v>
      </c>
      <c r="S177" s="1"/>
      <c r="T177" s="1"/>
      <c r="U177" s="1"/>
    </row>
    <row r="178" spans="1:21" ht="9.75" customHeight="1" x14ac:dyDescent="0.4">
      <c r="A178" s="1"/>
      <c r="B178" s="1"/>
      <c r="C178" s="17"/>
      <c r="D178" s="17" t="s">
        <v>313</v>
      </c>
      <c r="E178" s="17"/>
      <c r="F178" s="32"/>
      <c r="G178" s="6"/>
      <c r="H178" s="6"/>
      <c r="I178" s="6"/>
      <c r="J178" s="6"/>
      <c r="K178" s="6"/>
      <c r="L178" s="6"/>
      <c r="M178" s="6"/>
      <c r="N178" s="6"/>
      <c r="O178" s="31"/>
      <c r="P178" s="32"/>
      <c r="Q178" s="6"/>
      <c r="R178" s="59"/>
      <c r="S178" s="1"/>
      <c r="T178" s="1"/>
      <c r="U178" s="1"/>
    </row>
    <row r="179" spans="1:21" ht="9.75" customHeight="1" x14ac:dyDescent="0.4">
      <c r="A179" s="1"/>
      <c r="B179" s="1" t="s">
        <v>395</v>
      </c>
      <c r="C179" s="34"/>
      <c r="D179" s="65" t="s">
        <v>314</v>
      </c>
      <c r="E179" s="65">
        <f t="shared" ref="E179:O179" si="6">SUM(E163:E178)</f>
        <v>7</v>
      </c>
      <c r="F179" s="104">
        <f t="shared" si="6"/>
        <v>2</v>
      </c>
      <c r="G179" s="128">
        <f t="shared" si="6"/>
        <v>1</v>
      </c>
      <c r="H179" s="128">
        <f t="shared" si="6"/>
        <v>1</v>
      </c>
      <c r="I179" s="128">
        <f t="shared" si="6"/>
        <v>1</v>
      </c>
      <c r="J179" s="128">
        <f t="shared" si="6"/>
        <v>1</v>
      </c>
      <c r="K179" s="128">
        <f t="shared" si="6"/>
        <v>2</v>
      </c>
      <c r="L179" s="128">
        <f t="shared" si="6"/>
        <v>2</v>
      </c>
      <c r="M179" s="128">
        <f t="shared" si="6"/>
        <v>0</v>
      </c>
      <c r="N179" s="128">
        <f t="shared" si="6"/>
        <v>1</v>
      </c>
      <c r="O179" s="129">
        <f t="shared" si="6"/>
        <v>1</v>
      </c>
      <c r="P179" s="104">
        <f>MIN(F179:O179)</f>
        <v>0</v>
      </c>
      <c r="Q179" s="128">
        <f>E179-P179</f>
        <v>7</v>
      </c>
      <c r="R179" s="72">
        <f>Q179/E179</f>
        <v>1</v>
      </c>
      <c r="S179" s="1"/>
      <c r="T179" s="1"/>
      <c r="U179" s="1"/>
    </row>
    <row r="180" spans="1:21" ht="9.75" customHeight="1" x14ac:dyDescent="0.4">
      <c r="A180" s="1"/>
      <c r="B180" s="1"/>
      <c r="C180" s="15" t="s">
        <v>52</v>
      </c>
      <c r="D180" s="15" t="s">
        <v>300</v>
      </c>
      <c r="E180" s="15"/>
      <c r="F180" s="73"/>
      <c r="G180" s="108"/>
      <c r="H180" s="108"/>
      <c r="I180" s="108"/>
      <c r="J180" s="108"/>
      <c r="K180" s="108"/>
      <c r="L180" s="108"/>
      <c r="M180" s="108"/>
      <c r="N180" s="108"/>
      <c r="O180" s="109"/>
      <c r="P180" s="73"/>
      <c r="Q180" s="108"/>
      <c r="R180" s="188"/>
      <c r="S180" s="1"/>
      <c r="T180" s="1"/>
      <c r="U180" s="1"/>
    </row>
    <row r="181" spans="1:21" ht="9.75" customHeight="1" x14ac:dyDescent="0.4">
      <c r="A181" s="1"/>
      <c r="B181" s="1"/>
      <c r="C181" s="17"/>
      <c r="D181" s="17" t="s">
        <v>301</v>
      </c>
      <c r="E181" s="17"/>
      <c r="F181" s="32"/>
      <c r="G181" s="6"/>
      <c r="H181" s="6"/>
      <c r="I181" s="6"/>
      <c r="J181" s="6"/>
      <c r="K181" s="6"/>
      <c r="L181" s="6"/>
      <c r="M181" s="6"/>
      <c r="N181" s="6"/>
      <c r="O181" s="31"/>
      <c r="P181" s="32"/>
      <c r="Q181" s="6"/>
      <c r="R181" s="59"/>
      <c r="S181" s="1"/>
      <c r="T181" s="1"/>
      <c r="U181" s="1"/>
    </row>
    <row r="182" spans="1:21" ht="9.75" customHeight="1" x14ac:dyDescent="0.4">
      <c r="A182" s="1"/>
      <c r="B182" s="1"/>
      <c r="C182" s="17"/>
      <c r="D182" s="17" t="s">
        <v>303</v>
      </c>
      <c r="E182" s="17"/>
      <c r="F182" s="32"/>
      <c r="G182" s="6"/>
      <c r="H182" s="6"/>
      <c r="I182" s="6"/>
      <c r="J182" s="6"/>
      <c r="K182" s="6"/>
      <c r="L182" s="6"/>
      <c r="M182" s="6"/>
      <c r="N182" s="6"/>
      <c r="O182" s="31"/>
      <c r="P182" s="32"/>
      <c r="Q182" s="6"/>
      <c r="R182" s="59"/>
      <c r="S182" s="1"/>
      <c r="T182" s="1"/>
      <c r="U182" s="1"/>
    </row>
    <row r="183" spans="1:21" ht="9.75" customHeight="1" x14ac:dyDescent="0.4">
      <c r="A183" s="1"/>
      <c r="B183" s="1"/>
      <c r="C183" s="17"/>
      <c r="D183" s="17" t="s">
        <v>409</v>
      </c>
      <c r="E183" s="82">
        <v>22</v>
      </c>
      <c r="F183" s="54">
        <v>0</v>
      </c>
      <c r="G183" s="6">
        <v>1</v>
      </c>
      <c r="H183" s="6">
        <v>0</v>
      </c>
      <c r="I183" s="6">
        <v>0</v>
      </c>
      <c r="J183" s="6">
        <v>0</v>
      </c>
      <c r="K183" s="6">
        <v>1</v>
      </c>
      <c r="L183" s="6">
        <v>0</v>
      </c>
      <c r="M183" s="6">
        <v>2</v>
      </c>
      <c r="N183" s="6">
        <v>1</v>
      </c>
      <c r="O183" s="31">
        <v>5</v>
      </c>
      <c r="P183" s="54">
        <f>MIN(F183:O183)</f>
        <v>0</v>
      </c>
      <c r="Q183" s="58">
        <f>E183-P183</f>
        <v>22</v>
      </c>
      <c r="R183" s="59">
        <f>Q183/E183</f>
        <v>1</v>
      </c>
      <c r="S183" s="1"/>
      <c r="T183" s="1"/>
      <c r="U183" s="1"/>
    </row>
    <row r="184" spans="1:21" ht="9.75" customHeight="1" x14ac:dyDescent="0.4">
      <c r="A184" s="1"/>
      <c r="B184" s="1"/>
      <c r="C184" s="17"/>
      <c r="D184" s="17" t="s">
        <v>369</v>
      </c>
      <c r="E184" s="277"/>
      <c r="F184" s="192"/>
      <c r="G184" s="192"/>
      <c r="H184" s="192"/>
      <c r="I184" s="192"/>
      <c r="J184" s="192"/>
      <c r="K184" s="192"/>
      <c r="L184" s="192"/>
      <c r="M184" s="192"/>
      <c r="N184" s="192"/>
      <c r="O184" s="193"/>
      <c r="P184" s="32"/>
      <c r="Q184" s="6"/>
      <c r="R184" s="59"/>
      <c r="S184" s="1"/>
      <c r="T184" s="1"/>
      <c r="U184" s="1"/>
    </row>
    <row r="185" spans="1:21" ht="9.75" customHeight="1" x14ac:dyDescent="0.4">
      <c r="A185" s="1"/>
      <c r="B185" s="1"/>
      <c r="C185" s="17"/>
      <c r="D185" s="17" t="s">
        <v>308</v>
      </c>
      <c r="E185" s="82">
        <v>1</v>
      </c>
      <c r="F185" s="32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31">
        <v>1</v>
      </c>
      <c r="P185" s="54">
        <f>MIN(F185:O185)</f>
        <v>0</v>
      </c>
      <c r="Q185" s="58">
        <f>E185-P185</f>
        <v>1</v>
      </c>
      <c r="R185" s="59">
        <f>Q185/E185</f>
        <v>1</v>
      </c>
      <c r="S185" s="1"/>
      <c r="T185" s="1"/>
      <c r="U185" s="1"/>
    </row>
    <row r="186" spans="1:21" ht="9.75" customHeight="1" x14ac:dyDescent="0.4">
      <c r="A186" s="1"/>
      <c r="B186" s="1"/>
      <c r="C186" s="17"/>
      <c r="D186" s="17" t="s">
        <v>374</v>
      </c>
      <c r="E186" s="277"/>
      <c r="F186" s="74"/>
      <c r="G186" s="74"/>
      <c r="H186" s="74"/>
      <c r="I186" s="74"/>
      <c r="J186" s="74"/>
      <c r="K186" s="278"/>
      <c r="L186" s="278"/>
      <c r="M186" s="278"/>
      <c r="N186" s="278"/>
      <c r="O186" s="279"/>
      <c r="P186" s="32"/>
      <c r="Q186" s="6"/>
      <c r="R186" s="59"/>
      <c r="S186" s="1"/>
      <c r="T186" s="1"/>
      <c r="U186" s="1"/>
    </row>
    <row r="187" spans="1:21" ht="9.75" customHeight="1" x14ac:dyDescent="0.4">
      <c r="A187" s="1"/>
      <c r="B187" s="1"/>
      <c r="C187" s="17"/>
      <c r="D187" s="17" t="s">
        <v>374</v>
      </c>
      <c r="E187" s="277"/>
      <c r="F187" s="278"/>
      <c r="G187" s="278"/>
      <c r="H187" s="278"/>
      <c r="I187" s="278"/>
      <c r="J187" s="278"/>
      <c r="K187" s="278"/>
      <c r="L187" s="278"/>
      <c r="M187" s="278"/>
      <c r="N187" s="278"/>
      <c r="O187" s="279"/>
      <c r="P187" s="32"/>
      <c r="Q187" s="6"/>
      <c r="R187" s="59"/>
      <c r="S187" s="1"/>
      <c r="T187" s="1"/>
      <c r="U187" s="1"/>
    </row>
    <row r="188" spans="1:21" ht="9.75" customHeight="1" x14ac:dyDescent="0.4">
      <c r="A188" s="1"/>
      <c r="B188" s="1"/>
      <c r="C188" s="17"/>
      <c r="D188" s="17" t="s">
        <v>374</v>
      </c>
      <c r="E188" s="277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32"/>
      <c r="Q188" s="6"/>
      <c r="R188" s="59"/>
      <c r="S188" s="1"/>
      <c r="T188" s="1"/>
      <c r="U188" s="1"/>
    </row>
    <row r="189" spans="1:21" ht="9.75" customHeight="1" x14ac:dyDescent="0.4">
      <c r="A189" s="1"/>
      <c r="B189" s="1"/>
      <c r="C189" s="17"/>
      <c r="D189" s="17" t="s">
        <v>374</v>
      </c>
      <c r="E189" s="277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32"/>
      <c r="Q189" s="6"/>
      <c r="R189" s="59"/>
      <c r="S189" s="1"/>
      <c r="T189" s="1"/>
      <c r="U189" s="1"/>
    </row>
    <row r="190" spans="1:21" ht="9.75" customHeight="1" x14ac:dyDescent="0.4">
      <c r="A190" s="1"/>
      <c r="B190" s="1"/>
      <c r="C190" s="17"/>
      <c r="D190" s="17" t="s">
        <v>374</v>
      </c>
      <c r="E190" s="277"/>
      <c r="F190" s="278"/>
      <c r="G190" s="278"/>
      <c r="H190" s="278"/>
      <c r="I190" s="278"/>
      <c r="J190" s="278"/>
      <c r="K190" s="278"/>
      <c r="L190" s="278"/>
      <c r="M190" s="278"/>
      <c r="N190" s="278"/>
      <c r="O190" s="279"/>
      <c r="P190" s="32"/>
      <c r="Q190" s="6"/>
      <c r="R190" s="59"/>
      <c r="S190" s="1"/>
      <c r="T190" s="1"/>
      <c r="U190" s="1"/>
    </row>
    <row r="191" spans="1:21" ht="9.75" customHeight="1" x14ac:dyDescent="0.4">
      <c r="A191" s="1"/>
      <c r="B191" s="1"/>
      <c r="C191" s="17"/>
      <c r="D191" s="17" t="s">
        <v>374</v>
      </c>
      <c r="E191" s="277"/>
      <c r="F191" s="278"/>
      <c r="G191" s="278"/>
      <c r="H191" s="278"/>
      <c r="I191" s="278"/>
      <c r="J191" s="278"/>
      <c r="K191" s="278"/>
      <c r="L191" s="278"/>
      <c r="M191" s="278"/>
      <c r="N191" s="278"/>
      <c r="O191" s="279"/>
      <c r="P191" s="32"/>
      <c r="Q191" s="6"/>
      <c r="R191" s="59"/>
      <c r="S191" s="1"/>
      <c r="T191" s="1"/>
      <c r="U191" s="1"/>
    </row>
    <row r="192" spans="1:21" ht="9.75" customHeight="1" x14ac:dyDescent="0.4">
      <c r="A192" s="1"/>
      <c r="B192" s="1"/>
      <c r="C192" s="17"/>
      <c r="D192" s="17" t="s">
        <v>310</v>
      </c>
      <c r="E192" s="82">
        <v>2</v>
      </c>
      <c r="F192" s="32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1</v>
      </c>
      <c r="M192" s="6">
        <v>1</v>
      </c>
      <c r="N192" s="6">
        <v>2</v>
      </c>
      <c r="O192" s="31">
        <v>2</v>
      </c>
      <c r="P192" s="54">
        <f>MIN(F192:O192)</f>
        <v>0</v>
      </c>
      <c r="Q192" s="58">
        <f>E192-P192</f>
        <v>2</v>
      </c>
      <c r="R192" s="59">
        <f>Q192/E192</f>
        <v>1</v>
      </c>
      <c r="S192" s="1"/>
      <c r="T192" s="1"/>
      <c r="U192" s="1"/>
    </row>
    <row r="193" spans="1:21" ht="9.75" customHeight="1" x14ac:dyDescent="0.4">
      <c r="A193" s="1"/>
      <c r="B193" s="1"/>
      <c r="C193" s="17"/>
      <c r="D193" s="17" t="s">
        <v>311</v>
      </c>
      <c r="E193" s="277"/>
      <c r="F193" s="278"/>
      <c r="G193" s="278"/>
      <c r="H193" s="278"/>
      <c r="I193" s="278"/>
      <c r="J193" s="278"/>
      <c r="K193" s="278"/>
      <c r="L193" s="278"/>
      <c r="M193" s="278"/>
      <c r="N193" s="278"/>
      <c r="O193" s="279"/>
      <c r="P193" s="32"/>
      <c r="Q193" s="6"/>
      <c r="R193" s="59"/>
      <c r="S193" s="1"/>
      <c r="T193" s="1"/>
      <c r="U193" s="1"/>
    </row>
    <row r="194" spans="1:21" ht="9.75" customHeight="1" x14ac:dyDescent="0.4">
      <c r="A194" s="1"/>
      <c r="B194" s="1"/>
      <c r="C194" s="17"/>
      <c r="D194" s="17" t="s">
        <v>312</v>
      </c>
      <c r="E194" s="277"/>
      <c r="F194" s="74"/>
      <c r="G194" s="74"/>
      <c r="H194" s="74"/>
      <c r="I194" s="74"/>
      <c r="J194" s="74"/>
      <c r="K194" s="74"/>
      <c r="L194" s="278"/>
      <c r="M194" s="278"/>
      <c r="N194" s="278"/>
      <c r="O194" s="279"/>
      <c r="P194" s="32"/>
      <c r="Q194" s="6"/>
      <c r="R194" s="59"/>
      <c r="S194" s="1"/>
      <c r="T194" s="1"/>
      <c r="U194" s="1"/>
    </row>
    <row r="195" spans="1:21" ht="9.75" customHeight="1" x14ac:dyDescent="0.4">
      <c r="A195" s="1"/>
      <c r="B195" s="1"/>
      <c r="C195" s="17"/>
      <c r="D195" s="17" t="s">
        <v>313</v>
      </c>
      <c r="E195" s="280">
        <v>5</v>
      </c>
      <c r="F195" s="76">
        <v>1</v>
      </c>
      <c r="G195" s="117">
        <v>0</v>
      </c>
      <c r="H195" s="117">
        <v>0</v>
      </c>
      <c r="I195" s="117">
        <v>0</v>
      </c>
      <c r="J195" s="117">
        <v>0</v>
      </c>
      <c r="K195" s="117">
        <v>0</v>
      </c>
      <c r="L195" s="117">
        <v>0</v>
      </c>
      <c r="M195" s="117">
        <v>0</v>
      </c>
      <c r="N195" s="117">
        <v>1</v>
      </c>
      <c r="O195" s="35">
        <v>3</v>
      </c>
      <c r="P195" s="58">
        <f t="shared" ref="P195:P196" si="7">MIN(F195:O195)</f>
        <v>0</v>
      </c>
      <c r="Q195" s="58">
        <f t="shared" ref="Q195:Q196" si="8">E195-P195</f>
        <v>5</v>
      </c>
      <c r="R195" s="59">
        <f t="shared" ref="R195:R196" si="9">Q195/E195</f>
        <v>1</v>
      </c>
      <c r="S195" s="1"/>
      <c r="T195" s="1"/>
      <c r="U195" s="1"/>
    </row>
    <row r="196" spans="1:21" ht="9.75" customHeight="1" x14ac:dyDescent="0.4">
      <c r="A196" s="1"/>
      <c r="B196" s="1" t="s">
        <v>395</v>
      </c>
      <c r="C196" s="34"/>
      <c r="D196" s="65" t="s">
        <v>314</v>
      </c>
      <c r="E196" s="65">
        <f t="shared" ref="E196:O196" si="10">SUM(E180:E195)</f>
        <v>30</v>
      </c>
      <c r="F196" s="118">
        <f t="shared" si="10"/>
        <v>1</v>
      </c>
      <c r="G196" s="119">
        <f t="shared" si="10"/>
        <v>1</v>
      </c>
      <c r="H196" s="119">
        <f t="shared" si="10"/>
        <v>0</v>
      </c>
      <c r="I196" s="119">
        <f t="shared" si="10"/>
        <v>0</v>
      </c>
      <c r="J196" s="119">
        <f t="shared" si="10"/>
        <v>0</v>
      </c>
      <c r="K196" s="119">
        <f t="shared" si="10"/>
        <v>1</v>
      </c>
      <c r="L196" s="119">
        <f t="shared" si="10"/>
        <v>1</v>
      </c>
      <c r="M196" s="119">
        <f t="shared" si="10"/>
        <v>4</v>
      </c>
      <c r="N196" s="119">
        <f t="shared" si="10"/>
        <v>4</v>
      </c>
      <c r="O196" s="120">
        <f t="shared" si="10"/>
        <v>11</v>
      </c>
      <c r="P196" s="104">
        <f t="shared" si="7"/>
        <v>0</v>
      </c>
      <c r="Q196" s="128">
        <f t="shared" si="8"/>
        <v>30</v>
      </c>
      <c r="R196" s="72">
        <f t="shared" si="9"/>
        <v>1</v>
      </c>
      <c r="S196" s="1"/>
      <c r="T196" s="1"/>
      <c r="U196" s="1"/>
    </row>
    <row r="197" spans="1:21" ht="9.75" customHeight="1" x14ac:dyDescent="0.4">
      <c r="A197" s="1"/>
      <c r="B197" s="1"/>
      <c r="C197" s="19" t="s">
        <v>73</v>
      </c>
      <c r="D197" s="19" t="s">
        <v>300</v>
      </c>
      <c r="E197" s="19"/>
      <c r="F197" s="133"/>
      <c r="G197" s="222"/>
      <c r="H197" s="222"/>
      <c r="I197" s="222"/>
      <c r="J197" s="222"/>
      <c r="K197" s="222"/>
      <c r="L197" s="222"/>
      <c r="M197" s="222"/>
      <c r="N197" s="222"/>
      <c r="O197" s="223"/>
      <c r="P197" s="133"/>
      <c r="Q197" s="222"/>
      <c r="R197" s="224"/>
      <c r="S197" s="1"/>
      <c r="T197" s="1"/>
      <c r="U197" s="1"/>
    </row>
    <row r="198" spans="1:21" ht="9.75" customHeight="1" x14ac:dyDescent="0.4">
      <c r="A198" s="1"/>
      <c r="B198" s="1"/>
      <c r="C198" s="24" t="s">
        <v>410</v>
      </c>
      <c r="D198" s="24" t="s">
        <v>301</v>
      </c>
      <c r="E198" s="24"/>
      <c r="F198" s="134"/>
      <c r="G198" s="135"/>
      <c r="H198" s="135"/>
      <c r="I198" s="135"/>
      <c r="J198" s="135"/>
      <c r="K198" s="135"/>
      <c r="L198" s="135"/>
      <c r="M198" s="135"/>
      <c r="N198" s="135"/>
      <c r="O198" s="136"/>
      <c r="P198" s="134"/>
      <c r="Q198" s="135"/>
      <c r="R198" s="137"/>
      <c r="S198" s="1"/>
      <c r="T198" s="1"/>
      <c r="U198" s="1"/>
    </row>
    <row r="199" spans="1:21" ht="9.75" customHeight="1" x14ac:dyDescent="0.4">
      <c r="A199" s="1"/>
      <c r="B199" s="1"/>
      <c r="C199" s="24" t="s">
        <v>384</v>
      </c>
      <c r="D199" s="24" t="s">
        <v>303</v>
      </c>
      <c r="E199" s="24"/>
      <c r="F199" s="134"/>
      <c r="G199" s="135"/>
      <c r="H199" s="135"/>
      <c r="I199" s="135"/>
      <c r="J199" s="135"/>
      <c r="K199" s="135"/>
      <c r="L199" s="135"/>
      <c r="M199" s="135"/>
      <c r="N199" s="135"/>
      <c r="O199" s="136"/>
      <c r="P199" s="134"/>
      <c r="Q199" s="135"/>
      <c r="R199" s="137"/>
      <c r="S199" s="1"/>
      <c r="T199" s="1"/>
      <c r="U199" s="1"/>
    </row>
    <row r="200" spans="1:21" ht="9.75" customHeight="1" x14ac:dyDescent="0.4">
      <c r="A200" s="1"/>
      <c r="B200" s="1"/>
      <c r="C200" s="24"/>
      <c r="D200" s="24" t="s">
        <v>369</v>
      </c>
      <c r="E200" s="24"/>
      <c r="F200" s="134"/>
      <c r="G200" s="135"/>
      <c r="H200" s="135"/>
      <c r="I200" s="135"/>
      <c r="J200" s="135"/>
      <c r="K200" s="135"/>
      <c r="L200" s="135"/>
      <c r="M200" s="135"/>
      <c r="N200" s="135"/>
      <c r="O200" s="136"/>
      <c r="P200" s="134"/>
      <c r="Q200" s="135"/>
      <c r="R200" s="137"/>
      <c r="S200" s="1"/>
      <c r="T200" s="1"/>
      <c r="U200" s="1"/>
    </row>
    <row r="201" spans="1:21" ht="9.75" customHeight="1" x14ac:dyDescent="0.4">
      <c r="A201" s="1"/>
      <c r="B201" s="1"/>
      <c r="C201" s="24"/>
      <c r="D201" s="24" t="s">
        <v>369</v>
      </c>
      <c r="E201" s="24"/>
      <c r="F201" s="134"/>
      <c r="G201" s="135"/>
      <c r="H201" s="135"/>
      <c r="I201" s="135"/>
      <c r="J201" s="135"/>
      <c r="K201" s="135"/>
      <c r="L201" s="135"/>
      <c r="M201" s="135"/>
      <c r="N201" s="135"/>
      <c r="O201" s="136"/>
      <c r="P201" s="134"/>
      <c r="Q201" s="135"/>
      <c r="R201" s="137"/>
      <c r="S201" s="1"/>
      <c r="T201" s="1"/>
      <c r="U201" s="1"/>
    </row>
    <row r="202" spans="1:21" ht="9.75" customHeight="1" x14ac:dyDescent="0.4">
      <c r="A202" s="1"/>
      <c r="B202" s="1"/>
      <c r="C202" s="24"/>
      <c r="D202" s="24" t="s">
        <v>308</v>
      </c>
      <c r="E202" s="24"/>
      <c r="F202" s="134"/>
      <c r="G202" s="135"/>
      <c r="H202" s="135"/>
      <c r="I202" s="135"/>
      <c r="J202" s="135"/>
      <c r="K202" s="135"/>
      <c r="L202" s="135"/>
      <c r="M202" s="135"/>
      <c r="N202" s="135"/>
      <c r="O202" s="136"/>
      <c r="P202" s="134"/>
      <c r="Q202" s="135"/>
      <c r="R202" s="137"/>
      <c r="S202" s="1"/>
      <c r="T202" s="1"/>
      <c r="U202" s="1"/>
    </row>
    <row r="203" spans="1:21" ht="9.75" customHeight="1" x14ac:dyDescent="0.4">
      <c r="A203" s="1"/>
      <c r="B203" s="1"/>
      <c r="C203" s="24"/>
      <c r="D203" s="24" t="s">
        <v>374</v>
      </c>
      <c r="E203" s="24"/>
      <c r="F203" s="134"/>
      <c r="G203" s="135"/>
      <c r="H203" s="135"/>
      <c r="I203" s="135"/>
      <c r="J203" s="135"/>
      <c r="K203" s="135"/>
      <c r="L203" s="135"/>
      <c r="M203" s="135"/>
      <c r="N203" s="135"/>
      <c r="O203" s="136"/>
      <c r="P203" s="134"/>
      <c r="Q203" s="135"/>
      <c r="R203" s="137"/>
      <c r="S203" s="1"/>
      <c r="T203" s="1"/>
      <c r="U203" s="1"/>
    </row>
    <row r="204" spans="1:21" ht="9.75" customHeight="1" x14ac:dyDescent="0.4">
      <c r="A204" s="1"/>
      <c r="B204" s="1"/>
      <c r="C204" s="24"/>
      <c r="D204" s="24" t="s">
        <v>374</v>
      </c>
      <c r="E204" s="24"/>
      <c r="F204" s="134"/>
      <c r="G204" s="135"/>
      <c r="H204" s="135"/>
      <c r="I204" s="135"/>
      <c r="J204" s="135"/>
      <c r="K204" s="135"/>
      <c r="L204" s="135"/>
      <c r="M204" s="135"/>
      <c r="N204" s="135"/>
      <c r="O204" s="136"/>
      <c r="P204" s="134"/>
      <c r="Q204" s="135"/>
      <c r="R204" s="137"/>
      <c r="S204" s="1"/>
      <c r="T204" s="1"/>
      <c r="U204" s="1"/>
    </row>
    <row r="205" spans="1:21" ht="9.75" customHeight="1" x14ac:dyDescent="0.4">
      <c r="A205" s="1"/>
      <c r="B205" s="1"/>
      <c r="C205" s="24"/>
      <c r="D205" s="24" t="s">
        <v>374</v>
      </c>
      <c r="E205" s="24"/>
      <c r="F205" s="134"/>
      <c r="G205" s="135"/>
      <c r="H205" s="135"/>
      <c r="I205" s="135"/>
      <c r="J205" s="135"/>
      <c r="K205" s="135"/>
      <c r="L205" s="135"/>
      <c r="M205" s="135"/>
      <c r="N205" s="135"/>
      <c r="O205" s="136"/>
      <c r="P205" s="134"/>
      <c r="Q205" s="135"/>
      <c r="R205" s="137"/>
      <c r="S205" s="1"/>
      <c r="T205" s="1"/>
      <c r="U205" s="1"/>
    </row>
    <row r="206" spans="1:21" ht="9.75" customHeight="1" x14ac:dyDescent="0.4">
      <c r="A206" s="1"/>
      <c r="B206" s="1"/>
      <c r="C206" s="24"/>
      <c r="D206" s="24" t="s">
        <v>374</v>
      </c>
      <c r="E206" s="24"/>
      <c r="F206" s="134"/>
      <c r="G206" s="135"/>
      <c r="H206" s="135"/>
      <c r="I206" s="135"/>
      <c r="J206" s="135"/>
      <c r="K206" s="135"/>
      <c r="L206" s="135"/>
      <c r="M206" s="135"/>
      <c r="N206" s="135"/>
      <c r="O206" s="136"/>
      <c r="P206" s="134"/>
      <c r="Q206" s="135"/>
      <c r="R206" s="137"/>
      <c r="S206" s="1"/>
      <c r="T206" s="1"/>
      <c r="U206" s="1"/>
    </row>
    <row r="207" spans="1:21" ht="9.75" customHeight="1" x14ac:dyDescent="0.4">
      <c r="A207" s="1"/>
      <c r="B207" s="1"/>
      <c r="C207" s="24"/>
      <c r="D207" s="24" t="s">
        <v>374</v>
      </c>
      <c r="E207" s="24"/>
      <c r="F207" s="134"/>
      <c r="G207" s="135"/>
      <c r="H207" s="135"/>
      <c r="I207" s="135"/>
      <c r="J207" s="135"/>
      <c r="K207" s="135"/>
      <c r="L207" s="135"/>
      <c r="M207" s="135"/>
      <c r="N207" s="135"/>
      <c r="O207" s="136"/>
      <c r="P207" s="134"/>
      <c r="Q207" s="135"/>
      <c r="R207" s="137"/>
      <c r="S207" s="1"/>
      <c r="T207" s="1"/>
      <c r="U207" s="1"/>
    </row>
    <row r="208" spans="1:21" ht="9.75" customHeight="1" x14ac:dyDescent="0.4">
      <c r="A208" s="1"/>
      <c r="B208" s="1"/>
      <c r="C208" s="24"/>
      <c r="D208" s="24" t="s">
        <v>374</v>
      </c>
      <c r="E208" s="24"/>
      <c r="F208" s="134"/>
      <c r="G208" s="135"/>
      <c r="H208" s="135"/>
      <c r="I208" s="135"/>
      <c r="J208" s="135"/>
      <c r="K208" s="135"/>
      <c r="L208" s="135"/>
      <c r="M208" s="135"/>
      <c r="N208" s="135"/>
      <c r="O208" s="136"/>
      <c r="P208" s="134"/>
      <c r="Q208" s="135"/>
      <c r="R208" s="137"/>
      <c r="S208" s="1"/>
      <c r="T208" s="1"/>
      <c r="U208" s="1"/>
    </row>
    <row r="209" spans="1:21" ht="9.75" customHeight="1" x14ac:dyDescent="0.4">
      <c r="A209" s="1"/>
      <c r="B209" s="1"/>
      <c r="C209" s="24"/>
      <c r="D209" s="24" t="s">
        <v>310</v>
      </c>
      <c r="E209" s="24"/>
      <c r="F209" s="134"/>
      <c r="G209" s="135"/>
      <c r="H209" s="135"/>
      <c r="I209" s="135"/>
      <c r="J209" s="135"/>
      <c r="K209" s="135"/>
      <c r="L209" s="135"/>
      <c r="M209" s="135"/>
      <c r="N209" s="135"/>
      <c r="O209" s="136"/>
      <c r="P209" s="134"/>
      <c r="Q209" s="135"/>
      <c r="R209" s="137"/>
      <c r="S209" s="1"/>
      <c r="T209" s="1"/>
      <c r="U209" s="1"/>
    </row>
    <row r="210" spans="1:21" ht="9.75" customHeight="1" x14ac:dyDescent="0.4">
      <c r="A210" s="1"/>
      <c r="B210" s="1"/>
      <c r="C210" s="24"/>
      <c r="D210" s="24" t="s">
        <v>311</v>
      </c>
      <c r="E210" s="24"/>
      <c r="F210" s="134"/>
      <c r="G210" s="135"/>
      <c r="H210" s="135"/>
      <c r="I210" s="135"/>
      <c r="J210" s="135"/>
      <c r="K210" s="135"/>
      <c r="L210" s="135"/>
      <c r="M210" s="135"/>
      <c r="N210" s="135"/>
      <c r="O210" s="136"/>
      <c r="P210" s="134"/>
      <c r="Q210" s="135"/>
      <c r="R210" s="137"/>
      <c r="S210" s="1"/>
      <c r="T210" s="1"/>
      <c r="U210" s="1"/>
    </row>
    <row r="211" spans="1:21" ht="9.75" customHeight="1" x14ac:dyDescent="0.4">
      <c r="A211" s="1"/>
      <c r="B211" s="1"/>
      <c r="C211" s="24"/>
      <c r="D211" s="24" t="s">
        <v>312</v>
      </c>
      <c r="E211" s="24"/>
      <c r="F211" s="134"/>
      <c r="G211" s="135"/>
      <c r="H211" s="135"/>
      <c r="I211" s="135"/>
      <c r="J211" s="135"/>
      <c r="K211" s="135"/>
      <c r="L211" s="135"/>
      <c r="M211" s="135"/>
      <c r="N211" s="135"/>
      <c r="O211" s="136"/>
      <c r="P211" s="134"/>
      <c r="Q211" s="135"/>
      <c r="R211" s="137"/>
      <c r="S211" s="1"/>
      <c r="T211" s="1"/>
      <c r="U211" s="1"/>
    </row>
    <row r="212" spans="1:21" ht="9.75" customHeight="1" x14ac:dyDescent="0.4">
      <c r="A212" s="1"/>
      <c r="B212" s="1"/>
      <c r="C212" s="24"/>
      <c r="D212" s="24" t="s">
        <v>313</v>
      </c>
      <c r="E212" s="24"/>
      <c r="F212" s="134"/>
      <c r="G212" s="135"/>
      <c r="H212" s="135"/>
      <c r="I212" s="135"/>
      <c r="J212" s="135"/>
      <c r="K212" s="135"/>
      <c r="L212" s="135"/>
      <c r="M212" s="135"/>
      <c r="N212" s="135"/>
      <c r="O212" s="136"/>
      <c r="P212" s="134"/>
      <c r="Q212" s="135"/>
      <c r="R212" s="137"/>
      <c r="S212" s="1"/>
      <c r="T212" s="1"/>
      <c r="U212" s="1"/>
    </row>
    <row r="213" spans="1:21" ht="9.75" customHeight="1" x14ac:dyDescent="0.4">
      <c r="A213" s="1"/>
      <c r="B213" s="1"/>
      <c r="C213" s="229"/>
      <c r="D213" s="141" t="s">
        <v>314</v>
      </c>
      <c r="E213" s="141"/>
      <c r="F213" s="142"/>
      <c r="G213" s="143"/>
      <c r="H213" s="143"/>
      <c r="I213" s="143"/>
      <c r="J213" s="143"/>
      <c r="K213" s="143"/>
      <c r="L213" s="143"/>
      <c r="M213" s="143"/>
      <c r="N213" s="143"/>
      <c r="O213" s="144"/>
      <c r="P213" s="142"/>
      <c r="Q213" s="143"/>
      <c r="R213" s="145"/>
      <c r="S213" s="1"/>
      <c r="T213" s="1"/>
      <c r="U213" s="1"/>
    </row>
    <row r="214" spans="1:21" ht="9.75" customHeight="1" x14ac:dyDescent="0.4">
      <c r="A214" s="1"/>
      <c r="B214" s="1"/>
      <c r="C214" s="15" t="s">
        <v>194</v>
      </c>
      <c r="D214" s="15" t="s">
        <v>300</v>
      </c>
      <c r="E214" s="15"/>
      <c r="F214" s="73"/>
      <c r="G214" s="108"/>
      <c r="H214" s="108"/>
      <c r="I214" s="108"/>
      <c r="J214" s="108"/>
      <c r="K214" s="108"/>
      <c r="L214" s="108"/>
      <c r="M214" s="108"/>
      <c r="N214" s="108"/>
      <c r="O214" s="109"/>
      <c r="P214" s="73"/>
      <c r="Q214" s="108"/>
      <c r="R214" s="188"/>
      <c r="S214" s="1"/>
      <c r="T214" s="1"/>
      <c r="U214" s="1"/>
    </row>
    <row r="215" spans="1:21" ht="9.75" customHeight="1" x14ac:dyDescent="0.4">
      <c r="A215" s="1"/>
      <c r="B215" s="1"/>
      <c r="C215" s="17"/>
      <c r="D215" s="17" t="s">
        <v>301</v>
      </c>
      <c r="E215" s="17"/>
      <c r="F215" s="32"/>
      <c r="G215" s="6"/>
      <c r="H215" s="6"/>
      <c r="I215" s="6"/>
      <c r="J215" s="6"/>
      <c r="K215" s="6"/>
      <c r="L215" s="6"/>
      <c r="M215" s="6"/>
      <c r="N215" s="6"/>
      <c r="O215" s="31"/>
      <c r="P215" s="32"/>
      <c r="Q215" s="6"/>
      <c r="R215" s="59"/>
      <c r="S215" s="1"/>
      <c r="T215" s="1"/>
      <c r="U215" s="1"/>
    </row>
    <row r="216" spans="1:21" ht="9.75" customHeight="1" x14ac:dyDescent="0.4">
      <c r="A216" s="1"/>
      <c r="B216" s="1"/>
      <c r="C216" s="17"/>
      <c r="D216" s="17" t="s">
        <v>303</v>
      </c>
      <c r="E216" s="17"/>
      <c r="F216" s="32"/>
      <c r="G216" s="6"/>
      <c r="H216" s="6"/>
      <c r="I216" s="6"/>
      <c r="J216" s="6"/>
      <c r="K216" s="6"/>
      <c r="L216" s="6"/>
      <c r="M216" s="6"/>
      <c r="N216" s="6"/>
      <c r="O216" s="31"/>
      <c r="P216" s="32"/>
      <c r="Q216" s="6"/>
      <c r="R216" s="59"/>
      <c r="S216" s="1"/>
      <c r="T216" s="1"/>
      <c r="U216" s="1"/>
    </row>
    <row r="217" spans="1:21" ht="9.75" customHeight="1" x14ac:dyDescent="0.4">
      <c r="A217" s="1"/>
      <c r="B217" s="1"/>
      <c r="C217" s="17"/>
      <c r="D217" s="17" t="s">
        <v>369</v>
      </c>
      <c r="E217" s="17"/>
      <c r="F217" s="32"/>
      <c r="G217" s="6"/>
      <c r="H217" s="6"/>
      <c r="I217" s="6"/>
      <c r="J217" s="6"/>
      <c r="K217" s="6"/>
      <c r="L217" s="6"/>
      <c r="M217" s="6"/>
      <c r="N217" s="6"/>
      <c r="O217" s="31"/>
      <c r="P217" s="32"/>
      <c r="Q217" s="6"/>
      <c r="R217" s="59"/>
      <c r="S217" s="1"/>
      <c r="T217" s="1"/>
      <c r="U217" s="1"/>
    </row>
    <row r="218" spans="1:21" ht="9.75" customHeight="1" x14ac:dyDescent="0.4">
      <c r="A218" s="1"/>
      <c r="B218" s="1"/>
      <c r="C218" s="17"/>
      <c r="D218" s="17" t="s">
        <v>369</v>
      </c>
      <c r="E218" s="17"/>
      <c r="F218" s="32"/>
      <c r="G218" s="6"/>
      <c r="H218" s="6"/>
      <c r="I218" s="6"/>
      <c r="J218" s="6"/>
      <c r="K218" s="6"/>
      <c r="L218" s="6"/>
      <c r="M218" s="6"/>
      <c r="N218" s="6"/>
      <c r="O218" s="31"/>
      <c r="P218" s="32"/>
      <c r="Q218" s="6"/>
      <c r="R218" s="59"/>
      <c r="S218" s="1"/>
      <c r="T218" s="1"/>
      <c r="U218" s="1"/>
    </row>
    <row r="219" spans="1:21" ht="9.75" customHeight="1" x14ac:dyDescent="0.4">
      <c r="A219" s="1"/>
      <c r="B219" s="1"/>
      <c r="C219" s="17"/>
      <c r="D219" s="17" t="s">
        <v>308</v>
      </c>
      <c r="E219" s="17"/>
      <c r="F219" s="32"/>
      <c r="G219" s="6"/>
      <c r="H219" s="6"/>
      <c r="I219" s="6"/>
      <c r="J219" s="6"/>
      <c r="K219" s="6"/>
      <c r="L219" s="6"/>
      <c r="M219" s="6"/>
      <c r="N219" s="6"/>
      <c r="O219" s="31"/>
      <c r="P219" s="32"/>
      <c r="Q219" s="6"/>
      <c r="R219" s="59"/>
      <c r="S219" s="1"/>
      <c r="T219" s="1"/>
      <c r="U219" s="1"/>
    </row>
    <row r="220" spans="1:21" ht="9.75" customHeight="1" x14ac:dyDescent="0.4">
      <c r="A220" s="1"/>
      <c r="B220" s="1"/>
      <c r="C220" s="17"/>
      <c r="D220" s="17" t="s">
        <v>411</v>
      </c>
      <c r="E220" s="17">
        <v>5</v>
      </c>
      <c r="F220" s="32">
        <v>0</v>
      </c>
      <c r="G220" s="6">
        <v>0</v>
      </c>
      <c r="H220" s="6">
        <v>1</v>
      </c>
      <c r="I220" s="6">
        <v>1</v>
      </c>
      <c r="J220" s="6">
        <v>1</v>
      </c>
      <c r="K220" s="6">
        <v>0</v>
      </c>
      <c r="L220" s="6">
        <v>2</v>
      </c>
      <c r="M220" s="6">
        <v>2</v>
      </c>
      <c r="N220" s="6">
        <v>0</v>
      </c>
      <c r="O220" s="6">
        <v>0</v>
      </c>
      <c r="P220" s="32">
        <f t="shared" ref="P220:P222" si="11">MIN(F220:O220)</f>
        <v>0</v>
      </c>
      <c r="Q220" s="6">
        <f t="shared" ref="Q220:Q222" si="12">E220-P220</f>
        <v>5</v>
      </c>
      <c r="R220" s="59">
        <f t="shared" ref="R220:R222" si="13">Q220/E220</f>
        <v>1</v>
      </c>
      <c r="S220" s="1"/>
      <c r="T220" s="1"/>
      <c r="U220" s="1"/>
    </row>
    <row r="221" spans="1:21" ht="9.75" customHeight="1" x14ac:dyDescent="0.4">
      <c r="A221" s="1"/>
      <c r="B221" s="1"/>
      <c r="C221" s="17"/>
      <c r="D221" s="17" t="s">
        <v>412</v>
      </c>
      <c r="E221" s="17">
        <v>5</v>
      </c>
      <c r="F221" s="32">
        <v>0</v>
      </c>
      <c r="G221" s="6">
        <v>0</v>
      </c>
      <c r="H221" s="6">
        <v>0</v>
      </c>
      <c r="I221" s="6">
        <v>1</v>
      </c>
      <c r="J221" s="6">
        <v>3</v>
      </c>
      <c r="K221" s="6">
        <v>3</v>
      </c>
      <c r="L221" s="6">
        <v>2</v>
      </c>
      <c r="M221" s="6">
        <v>1</v>
      </c>
      <c r="N221" s="6">
        <v>0</v>
      </c>
      <c r="O221" s="6">
        <v>0</v>
      </c>
      <c r="P221" s="32">
        <f t="shared" si="11"/>
        <v>0</v>
      </c>
      <c r="Q221" s="6">
        <f t="shared" si="12"/>
        <v>5</v>
      </c>
      <c r="R221" s="59">
        <f t="shared" si="13"/>
        <v>1</v>
      </c>
      <c r="S221" s="1"/>
      <c r="T221" s="1"/>
      <c r="U221" s="1"/>
    </row>
    <row r="222" spans="1:21" ht="9.75" customHeight="1" x14ac:dyDescent="0.4">
      <c r="A222" s="1"/>
      <c r="B222" s="1"/>
      <c r="C222" s="17"/>
      <c r="D222" s="17" t="s">
        <v>413</v>
      </c>
      <c r="E222" s="17">
        <v>1</v>
      </c>
      <c r="F222" s="32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32">
        <f t="shared" si="11"/>
        <v>0</v>
      </c>
      <c r="Q222" s="6">
        <f t="shared" si="12"/>
        <v>1</v>
      </c>
      <c r="R222" s="59">
        <f t="shared" si="13"/>
        <v>1</v>
      </c>
      <c r="S222" s="1"/>
      <c r="T222" s="1"/>
      <c r="U222" s="1"/>
    </row>
    <row r="223" spans="1:21" ht="9.75" customHeight="1" x14ac:dyDescent="0.4">
      <c r="A223" s="1"/>
      <c r="B223" s="1"/>
      <c r="C223" s="17"/>
      <c r="D223" s="17" t="s">
        <v>374</v>
      </c>
      <c r="E223" s="17"/>
      <c r="F223" s="32"/>
      <c r="G223" s="6"/>
      <c r="H223" s="6"/>
      <c r="I223" s="6"/>
      <c r="J223" s="6"/>
      <c r="K223" s="192"/>
      <c r="L223" s="192"/>
      <c r="M223" s="192"/>
      <c r="N223" s="192"/>
      <c r="O223" s="193"/>
      <c r="P223" s="32"/>
      <c r="Q223" s="6"/>
      <c r="R223" s="59"/>
      <c r="S223" s="1"/>
      <c r="T223" s="1"/>
      <c r="U223" s="1"/>
    </row>
    <row r="224" spans="1:21" ht="9.75" customHeight="1" x14ac:dyDescent="0.4">
      <c r="A224" s="1"/>
      <c r="B224" s="1"/>
      <c r="C224" s="17"/>
      <c r="D224" s="17" t="s">
        <v>374</v>
      </c>
      <c r="E224" s="17"/>
      <c r="F224" s="32"/>
      <c r="G224" s="6"/>
      <c r="H224" s="6"/>
      <c r="I224" s="6"/>
      <c r="J224" s="6"/>
      <c r="K224" s="192"/>
      <c r="L224" s="192"/>
      <c r="M224" s="192"/>
      <c r="N224" s="192"/>
      <c r="O224" s="193"/>
      <c r="P224" s="32"/>
      <c r="Q224" s="6"/>
      <c r="R224" s="59"/>
      <c r="S224" s="1"/>
      <c r="T224" s="1"/>
      <c r="U224" s="1"/>
    </row>
    <row r="225" spans="1:21" ht="9.75" customHeight="1" x14ac:dyDescent="0.4">
      <c r="A225" s="1"/>
      <c r="B225" s="1"/>
      <c r="C225" s="17"/>
      <c r="D225" s="17" t="s">
        <v>374</v>
      </c>
      <c r="E225" s="17"/>
      <c r="F225" s="32"/>
      <c r="G225" s="6"/>
      <c r="H225" s="6"/>
      <c r="I225" s="6"/>
      <c r="J225" s="6"/>
      <c r="K225" s="192"/>
      <c r="L225" s="192"/>
      <c r="M225" s="192"/>
      <c r="N225" s="192"/>
      <c r="O225" s="193"/>
      <c r="P225" s="32"/>
      <c r="Q225" s="6"/>
      <c r="R225" s="59"/>
      <c r="S225" s="1"/>
      <c r="T225" s="1"/>
      <c r="U225" s="1"/>
    </row>
    <row r="226" spans="1:21" ht="9.75" customHeight="1" x14ac:dyDescent="0.4">
      <c r="A226" s="1"/>
      <c r="B226" s="1"/>
      <c r="C226" s="17"/>
      <c r="D226" s="17" t="s">
        <v>310</v>
      </c>
      <c r="E226" s="17"/>
      <c r="F226" s="32"/>
      <c r="G226" s="6"/>
      <c r="H226" s="6"/>
      <c r="I226" s="6"/>
      <c r="J226" s="6"/>
      <c r="K226" s="192"/>
      <c r="L226" s="192"/>
      <c r="M226" s="192"/>
      <c r="N226" s="192"/>
      <c r="O226" s="193"/>
      <c r="P226" s="32"/>
      <c r="Q226" s="6"/>
      <c r="R226" s="59"/>
      <c r="S226" s="1"/>
      <c r="T226" s="1"/>
      <c r="U226" s="1"/>
    </row>
    <row r="227" spans="1:21" ht="9.75" customHeight="1" x14ac:dyDescent="0.4">
      <c r="A227" s="1"/>
      <c r="B227" s="1"/>
      <c r="C227" s="17"/>
      <c r="D227" s="17" t="s">
        <v>311</v>
      </c>
      <c r="E227" s="17">
        <v>2</v>
      </c>
      <c r="F227" s="32">
        <v>0</v>
      </c>
      <c r="G227" s="6">
        <v>1</v>
      </c>
      <c r="H227" s="6">
        <v>0</v>
      </c>
      <c r="I227" s="6">
        <v>0</v>
      </c>
      <c r="J227" s="6">
        <v>1</v>
      </c>
      <c r="K227" s="6">
        <v>0</v>
      </c>
      <c r="L227" s="6">
        <v>0</v>
      </c>
      <c r="M227" s="74">
        <v>0</v>
      </c>
      <c r="N227" s="74">
        <v>0</v>
      </c>
      <c r="O227" s="123">
        <v>0</v>
      </c>
      <c r="P227" s="32">
        <f>MIN(F227:O227)</f>
        <v>0</v>
      </c>
      <c r="Q227" s="6">
        <f>E227-P227</f>
        <v>2</v>
      </c>
      <c r="R227" s="59">
        <f>Q227/E227</f>
        <v>1</v>
      </c>
      <c r="S227" s="1"/>
      <c r="T227" s="1"/>
      <c r="U227" s="1"/>
    </row>
    <row r="228" spans="1:21" ht="9.75" customHeight="1" x14ac:dyDescent="0.4">
      <c r="A228" s="1"/>
      <c r="B228" s="1"/>
      <c r="C228" s="17"/>
      <c r="D228" s="17" t="s">
        <v>312</v>
      </c>
      <c r="E228" s="17"/>
      <c r="F228" s="32"/>
      <c r="G228" s="6"/>
      <c r="H228" s="6"/>
      <c r="I228" s="6"/>
      <c r="J228" s="6"/>
      <c r="K228" s="6"/>
      <c r="L228" s="6"/>
      <c r="M228" s="6"/>
      <c r="N228" s="6"/>
      <c r="O228" s="31"/>
      <c r="P228" s="32"/>
      <c r="Q228" s="6"/>
      <c r="R228" s="59"/>
      <c r="S228" s="1"/>
      <c r="T228" s="1"/>
      <c r="U228" s="1"/>
    </row>
    <row r="229" spans="1:21" ht="9.75" customHeight="1" x14ac:dyDescent="0.4">
      <c r="A229" s="1"/>
      <c r="B229" s="1"/>
      <c r="C229" s="17"/>
      <c r="D229" s="17" t="s">
        <v>313</v>
      </c>
      <c r="E229" s="17"/>
      <c r="F229" s="32"/>
      <c r="G229" s="6"/>
      <c r="H229" s="6"/>
      <c r="I229" s="6"/>
      <c r="J229" s="6"/>
      <c r="K229" s="6"/>
      <c r="L229" s="6"/>
      <c r="M229" s="6"/>
      <c r="N229" s="6"/>
      <c r="O229" s="31"/>
      <c r="P229" s="32"/>
      <c r="Q229" s="6"/>
      <c r="R229" s="59"/>
      <c r="S229" s="1"/>
      <c r="T229" s="1"/>
      <c r="U229" s="1"/>
    </row>
    <row r="230" spans="1:21" ht="9.75" customHeight="1" x14ac:dyDescent="0.4">
      <c r="A230" s="1"/>
      <c r="B230" s="1" t="s">
        <v>395</v>
      </c>
      <c r="C230" s="34"/>
      <c r="D230" s="65" t="s">
        <v>314</v>
      </c>
      <c r="E230" s="65">
        <f t="shared" ref="E230:O230" si="14">SUM(E214:E229)</f>
        <v>13</v>
      </c>
      <c r="F230" s="104">
        <f t="shared" si="14"/>
        <v>0</v>
      </c>
      <c r="G230" s="128">
        <f t="shared" si="14"/>
        <v>1</v>
      </c>
      <c r="H230" s="128">
        <f t="shared" si="14"/>
        <v>1</v>
      </c>
      <c r="I230" s="128">
        <f t="shared" si="14"/>
        <v>2</v>
      </c>
      <c r="J230" s="128">
        <f t="shared" si="14"/>
        <v>5</v>
      </c>
      <c r="K230" s="128">
        <f t="shared" si="14"/>
        <v>3</v>
      </c>
      <c r="L230" s="128">
        <f t="shared" si="14"/>
        <v>4</v>
      </c>
      <c r="M230" s="128">
        <f t="shared" si="14"/>
        <v>3</v>
      </c>
      <c r="N230" s="128">
        <f t="shared" si="14"/>
        <v>0</v>
      </c>
      <c r="O230" s="129">
        <f t="shared" si="14"/>
        <v>0</v>
      </c>
      <c r="P230" s="104">
        <f>MIN(F230:O230)</f>
        <v>0</v>
      </c>
      <c r="Q230" s="128">
        <f>E230-P230</f>
        <v>13</v>
      </c>
      <c r="R230" s="72">
        <f>Q230/E230</f>
        <v>1</v>
      </c>
      <c r="S230" s="1"/>
      <c r="T230" s="1"/>
      <c r="U230" s="1"/>
    </row>
    <row r="231" spans="1:21" ht="9.75" customHeight="1" x14ac:dyDescent="0.4">
      <c r="A231" s="1"/>
      <c r="B231" s="1"/>
      <c r="C231" s="19" t="s">
        <v>93</v>
      </c>
      <c r="D231" s="19" t="s">
        <v>300</v>
      </c>
      <c r="E231" s="24"/>
      <c r="F231" s="134"/>
      <c r="G231" s="135"/>
      <c r="H231" s="135"/>
      <c r="I231" s="135"/>
      <c r="J231" s="135"/>
      <c r="K231" s="275"/>
      <c r="L231" s="275"/>
      <c r="M231" s="275"/>
      <c r="N231" s="275"/>
      <c r="O231" s="276"/>
      <c r="P231" s="134"/>
      <c r="Q231" s="135"/>
      <c r="R231" s="137"/>
      <c r="S231" s="1"/>
      <c r="T231" s="1"/>
      <c r="U231" s="1"/>
    </row>
    <row r="232" spans="1:21" ht="9.75" customHeight="1" x14ac:dyDescent="0.4">
      <c r="A232" s="1"/>
      <c r="B232" s="1"/>
      <c r="C232" s="24" t="s">
        <v>414</v>
      </c>
      <c r="D232" s="24" t="s">
        <v>301</v>
      </c>
      <c r="E232" s="24"/>
      <c r="F232" s="134"/>
      <c r="G232" s="135"/>
      <c r="H232" s="135"/>
      <c r="I232" s="135"/>
      <c r="J232" s="135"/>
      <c r="K232" s="227"/>
      <c r="L232" s="227"/>
      <c r="M232" s="227"/>
      <c r="N232" s="227"/>
      <c r="O232" s="228"/>
      <c r="P232" s="134"/>
      <c r="Q232" s="135"/>
      <c r="R232" s="137"/>
      <c r="S232" s="1"/>
      <c r="T232" s="1"/>
      <c r="U232" s="1"/>
    </row>
    <row r="233" spans="1:21" ht="9.75" customHeight="1" x14ac:dyDescent="0.4">
      <c r="A233" s="1"/>
      <c r="B233" s="1"/>
      <c r="C233" s="24" t="s">
        <v>384</v>
      </c>
      <c r="D233" s="24" t="s">
        <v>303</v>
      </c>
      <c r="E233" s="24"/>
      <c r="F233" s="134"/>
      <c r="G233" s="135"/>
      <c r="H233" s="135"/>
      <c r="I233" s="135"/>
      <c r="J233" s="135"/>
      <c r="K233" s="227"/>
      <c r="L233" s="227"/>
      <c r="M233" s="227"/>
      <c r="N233" s="227"/>
      <c r="O233" s="228"/>
      <c r="P233" s="134"/>
      <c r="Q233" s="135"/>
      <c r="R233" s="137"/>
      <c r="S233" s="1"/>
      <c r="T233" s="1"/>
      <c r="U233" s="1"/>
    </row>
    <row r="234" spans="1:21" ht="9.75" customHeight="1" x14ac:dyDescent="0.4">
      <c r="A234" s="1"/>
      <c r="B234" s="1"/>
      <c r="C234" s="24"/>
      <c r="D234" s="24" t="s">
        <v>369</v>
      </c>
      <c r="E234" s="24"/>
      <c r="F234" s="134"/>
      <c r="G234" s="135"/>
      <c r="H234" s="135"/>
      <c r="I234" s="135"/>
      <c r="J234" s="135"/>
      <c r="K234" s="227"/>
      <c r="L234" s="227"/>
      <c r="M234" s="227"/>
      <c r="N234" s="227"/>
      <c r="O234" s="228"/>
      <c r="P234" s="134"/>
      <c r="Q234" s="135"/>
      <c r="R234" s="137"/>
      <c r="S234" s="1"/>
      <c r="T234" s="1"/>
      <c r="U234" s="1"/>
    </row>
    <row r="235" spans="1:21" ht="9.75" customHeight="1" x14ac:dyDescent="0.4">
      <c r="A235" s="1"/>
      <c r="B235" s="1"/>
      <c r="C235" s="24"/>
      <c r="D235" s="24" t="s">
        <v>369</v>
      </c>
      <c r="E235" s="24"/>
      <c r="F235" s="134"/>
      <c r="G235" s="135"/>
      <c r="H235" s="135"/>
      <c r="I235" s="135"/>
      <c r="J235" s="135"/>
      <c r="K235" s="227"/>
      <c r="L235" s="227"/>
      <c r="M235" s="227"/>
      <c r="N235" s="227"/>
      <c r="O235" s="228"/>
      <c r="P235" s="134"/>
      <c r="Q235" s="135"/>
      <c r="R235" s="137"/>
      <c r="S235" s="1"/>
      <c r="T235" s="1"/>
      <c r="U235" s="1"/>
    </row>
    <row r="236" spans="1:21" ht="9.75" customHeight="1" x14ac:dyDescent="0.4">
      <c r="A236" s="1"/>
      <c r="B236" s="1"/>
      <c r="C236" s="24"/>
      <c r="D236" s="24" t="s">
        <v>308</v>
      </c>
      <c r="E236" s="24"/>
      <c r="F236" s="134"/>
      <c r="G236" s="135"/>
      <c r="H236" s="135"/>
      <c r="I236" s="135"/>
      <c r="J236" s="135"/>
      <c r="K236" s="227"/>
      <c r="L236" s="227"/>
      <c r="M236" s="227"/>
      <c r="N236" s="227"/>
      <c r="O236" s="228"/>
      <c r="P236" s="134"/>
      <c r="Q236" s="135"/>
      <c r="R236" s="137"/>
      <c r="S236" s="1"/>
      <c r="T236" s="1"/>
      <c r="U236" s="1"/>
    </row>
    <row r="237" spans="1:21" ht="9.75" customHeight="1" x14ac:dyDescent="0.4">
      <c r="A237" s="1"/>
      <c r="B237" s="1"/>
      <c r="C237" s="24"/>
      <c r="D237" s="24" t="s">
        <v>374</v>
      </c>
      <c r="E237" s="24"/>
      <c r="F237" s="134"/>
      <c r="G237" s="135"/>
      <c r="H237" s="135"/>
      <c r="I237" s="135"/>
      <c r="J237" s="135"/>
      <c r="K237" s="227"/>
      <c r="L237" s="227"/>
      <c r="M237" s="227"/>
      <c r="N237" s="227"/>
      <c r="O237" s="228"/>
      <c r="P237" s="134"/>
      <c r="Q237" s="135"/>
      <c r="R237" s="137"/>
      <c r="S237" s="1"/>
      <c r="T237" s="1"/>
      <c r="U237" s="1"/>
    </row>
    <row r="238" spans="1:21" ht="9.75" customHeight="1" x14ac:dyDescent="0.4">
      <c r="A238" s="1"/>
      <c r="B238" s="1"/>
      <c r="C238" s="24"/>
      <c r="D238" s="24" t="s">
        <v>374</v>
      </c>
      <c r="E238" s="24"/>
      <c r="F238" s="134"/>
      <c r="G238" s="135"/>
      <c r="H238" s="135"/>
      <c r="I238" s="135"/>
      <c r="J238" s="135"/>
      <c r="K238" s="227"/>
      <c r="L238" s="227"/>
      <c r="M238" s="227"/>
      <c r="N238" s="227"/>
      <c r="O238" s="228"/>
      <c r="P238" s="134"/>
      <c r="Q238" s="135"/>
      <c r="R238" s="137"/>
      <c r="S238" s="1"/>
      <c r="T238" s="1"/>
      <c r="U238" s="1"/>
    </row>
    <row r="239" spans="1:21" ht="9.75" customHeight="1" x14ac:dyDescent="0.4">
      <c r="A239" s="1"/>
      <c r="B239" s="1"/>
      <c r="C239" s="24"/>
      <c r="D239" s="24" t="s">
        <v>374</v>
      </c>
      <c r="E239" s="24"/>
      <c r="F239" s="134"/>
      <c r="G239" s="135"/>
      <c r="H239" s="135"/>
      <c r="I239" s="135"/>
      <c r="J239" s="135"/>
      <c r="K239" s="227"/>
      <c r="L239" s="227"/>
      <c r="M239" s="227"/>
      <c r="N239" s="227"/>
      <c r="O239" s="228"/>
      <c r="P239" s="134"/>
      <c r="Q239" s="135"/>
      <c r="R239" s="137"/>
      <c r="S239" s="1"/>
      <c r="T239" s="1"/>
      <c r="U239" s="1"/>
    </row>
    <row r="240" spans="1:21" ht="9.75" customHeight="1" x14ac:dyDescent="0.4">
      <c r="A240" s="1"/>
      <c r="B240" s="1"/>
      <c r="C240" s="24"/>
      <c r="D240" s="24" t="s">
        <v>374</v>
      </c>
      <c r="E240" s="24"/>
      <c r="F240" s="134"/>
      <c r="G240" s="135"/>
      <c r="H240" s="135"/>
      <c r="I240" s="135"/>
      <c r="J240" s="135"/>
      <c r="K240" s="227"/>
      <c r="L240" s="227"/>
      <c r="M240" s="227"/>
      <c r="N240" s="227"/>
      <c r="O240" s="228"/>
      <c r="P240" s="134"/>
      <c r="Q240" s="135"/>
      <c r="R240" s="137"/>
      <c r="S240" s="1"/>
      <c r="T240" s="1"/>
      <c r="U240" s="1"/>
    </row>
    <row r="241" spans="1:21" ht="9.75" customHeight="1" x14ac:dyDescent="0.4">
      <c r="A241" s="1"/>
      <c r="B241" s="1"/>
      <c r="C241" s="24"/>
      <c r="D241" s="24" t="s">
        <v>374</v>
      </c>
      <c r="E241" s="24"/>
      <c r="F241" s="134"/>
      <c r="G241" s="135"/>
      <c r="H241" s="135"/>
      <c r="I241" s="135"/>
      <c r="J241" s="135"/>
      <c r="K241" s="227"/>
      <c r="L241" s="227"/>
      <c r="M241" s="227"/>
      <c r="N241" s="227"/>
      <c r="O241" s="228"/>
      <c r="P241" s="134"/>
      <c r="Q241" s="135"/>
      <c r="R241" s="137"/>
      <c r="S241" s="1"/>
      <c r="T241" s="1"/>
      <c r="U241" s="1"/>
    </row>
    <row r="242" spans="1:21" ht="9.75" customHeight="1" x14ac:dyDescent="0.4">
      <c r="A242" s="1"/>
      <c r="B242" s="1"/>
      <c r="C242" s="24"/>
      <c r="D242" s="24" t="s">
        <v>374</v>
      </c>
      <c r="E242" s="24"/>
      <c r="F242" s="134"/>
      <c r="G242" s="135"/>
      <c r="H242" s="135"/>
      <c r="I242" s="135"/>
      <c r="J242" s="135"/>
      <c r="K242" s="227"/>
      <c r="L242" s="227"/>
      <c r="M242" s="227"/>
      <c r="N242" s="227"/>
      <c r="O242" s="228"/>
      <c r="P242" s="134"/>
      <c r="Q242" s="135"/>
      <c r="R242" s="137"/>
      <c r="S242" s="1"/>
      <c r="T242" s="1"/>
      <c r="U242" s="1"/>
    </row>
    <row r="243" spans="1:21" ht="9.75" customHeight="1" x14ac:dyDescent="0.4">
      <c r="A243" s="1"/>
      <c r="B243" s="1"/>
      <c r="C243" s="24"/>
      <c r="D243" s="24" t="s">
        <v>310</v>
      </c>
      <c r="E243" s="24"/>
      <c r="F243" s="134"/>
      <c r="G243" s="135"/>
      <c r="H243" s="135"/>
      <c r="I243" s="135"/>
      <c r="J243" s="135"/>
      <c r="K243" s="225"/>
      <c r="L243" s="225"/>
      <c r="M243" s="225"/>
      <c r="N243" s="225"/>
      <c r="O243" s="226"/>
      <c r="P243" s="134"/>
      <c r="Q243" s="135"/>
      <c r="R243" s="137"/>
      <c r="S243" s="1"/>
      <c r="T243" s="1"/>
      <c r="U243" s="1"/>
    </row>
    <row r="244" spans="1:21" ht="9.75" customHeight="1" x14ac:dyDescent="0.4">
      <c r="A244" s="1"/>
      <c r="B244" s="1"/>
      <c r="C244" s="24"/>
      <c r="D244" s="24" t="s">
        <v>311</v>
      </c>
      <c r="E244" s="24"/>
      <c r="F244" s="134"/>
      <c r="G244" s="135"/>
      <c r="H244" s="135"/>
      <c r="I244" s="135"/>
      <c r="J244" s="135"/>
      <c r="K244" s="227"/>
      <c r="L244" s="227"/>
      <c r="M244" s="227"/>
      <c r="N244" s="227"/>
      <c r="O244" s="228"/>
      <c r="P244" s="134"/>
      <c r="Q244" s="135"/>
      <c r="R244" s="137"/>
      <c r="S244" s="1"/>
      <c r="T244" s="1"/>
      <c r="U244" s="1"/>
    </row>
    <row r="245" spans="1:21" ht="9.75" customHeight="1" x14ac:dyDescent="0.4">
      <c r="A245" s="1"/>
      <c r="B245" s="1"/>
      <c r="C245" s="24"/>
      <c r="D245" s="24" t="s">
        <v>312</v>
      </c>
      <c r="E245" s="24"/>
      <c r="F245" s="134"/>
      <c r="G245" s="135"/>
      <c r="H245" s="135"/>
      <c r="I245" s="135"/>
      <c r="J245" s="135"/>
      <c r="K245" s="227"/>
      <c r="L245" s="227"/>
      <c r="M245" s="227"/>
      <c r="N245" s="227"/>
      <c r="O245" s="228"/>
      <c r="P245" s="134"/>
      <c r="Q245" s="135"/>
      <c r="R245" s="137"/>
      <c r="S245" s="1"/>
      <c r="T245" s="1"/>
      <c r="U245" s="1"/>
    </row>
    <row r="246" spans="1:21" ht="9.75" customHeight="1" x14ac:dyDescent="0.4">
      <c r="A246" s="1"/>
      <c r="B246" s="1"/>
      <c r="C246" s="24"/>
      <c r="D246" s="24" t="s">
        <v>313</v>
      </c>
      <c r="E246" s="24"/>
      <c r="F246" s="134"/>
      <c r="G246" s="135"/>
      <c r="H246" s="135"/>
      <c r="I246" s="135"/>
      <c r="J246" s="135"/>
      <c r="K246" s="238"/>
      <c r="L246" s="238"/>
      <c r="M246" s="238"/>
      <c r="N246" s="238"/>
      <c r="O246" s="239"/>
      <c r="P246" s="134"/>
      <c r="Q246" s="135"/>
      <c r="R246" s="137"/>
      <c r="S246" s="1"/>
      <c r="T246" s="1"/>
      <c r="U246" s="1"/>
    </row>
    <row r="247" spans="1:21" ht="9" customHeight="1" x14ac:dyDescent="0.4">
      <c r="A247" s="1"/>
      <c r="B247" s="1" t="s">
        <v>395</v>
      </c>
      <c r="C247" s="229"/>
      <c r="D247" s="141" t="s">
        <v>314</v>
      </c>
      <c r="E247" s="141"/>
      <c r="F247" s="142"/>
      <c r="G247" s="143"/>
      <c r="H247" s="143"/>
      <c r="I247" s="143"/>
      <c r="J247" s="143"/>
      <c r="K247" s="242"/>
      <c r="L247" s="242"/>
      <c r="M247" s="242"/>
      <c r="N247" s="242"/>
      <c r="O247" s="243"/>
      <c r="P247" s="142"/>
      <c r="Q247" s="143"/>
      <c r="R247" s="145"/>
      <c r="S247" s="1"/>
      <c r="T247" s="1"/>
      <c r="U247" s="1"/>
    </row>
    <row r="248" spans="1:21" ht="9.75" customHeight="1" x14ac:dyDescent="0.4">
      <c r="A248" s="1"/>
      <c r="B248" s="1"/>
      <c r="C248" s="15" t="s">
        <v>111</v>
      </c>
      <c r="D248" s="15" t="s">
        <v>300</v>
      </c>
      <c r="E248" s="15"/>
      <c r="F248" s="73"/>
      <c r="G248" s="108"/>
      <c r="H248" s="108"/>
      <c r="I248" s="108"/>
      <c r="J248" s="108"/>
      <c r="K248" s="108"/>
      <c r="L248" s="108"/>
      <c r="M248" s="108"/>
      <c r="N248" s="108"/>
      <c r="O248" s="109"/>
      <c r="P248" s="73"/>
      <c r="Q248" s="108"/>
      <c r="R248" s="188"/>
      <c r="S248" s="1"/>
      <c r="T248" s="1"/>
      <c r="U248" s="1"/>
    </row>
    <row r="249" spans="1:21" ht="9.75" customHeight="1" x14ac:dyDescent="0.4">
      <c r="A249" s="1"/>
      <c r="B249" s="1"/>
      <c r="C249" s="17"/>
      <c r="D249" s="17" t="s">
        <v>301</v>
      </c>
      <c r="E249" s="17"/>
      <c r="F249" s="32"/>
      <c r="G249" s="6"/>
      <c r="H249" s="6"/>
      <c r="I249" s="6"/>
      <c r="J249" s="6"/>
      <c r="K249" s="6"/>
      <c r="L249" s="6"/>
      <c r="M249" s="6"/>
      <c r="N249" s="6"/>
      <c r="O249" s="31"/>
      <c r="P249" s="32"/>
      <c r="Q249" s="6"/>
      <c r="R249" s="59"/>
      <c r="S249" s="1"/>
      <c r="T249" s="1"/>
      <c r="U249" s="1"/>
    </row>
    <row r="250" spans="1:21" ht="9.75" customHeight="1" x14ac:dyDescent="0.4">
      <c r="A250" s="1"/>
      <c r="B250" s="1"/>
      <c r="C250" s="17"/>
      <c r="D250" s="17" t="s">
        <v>303</v>
      </c>
      <c r="E250" s="17"/>
      <c r="F250" s="32"/>
      <c r="G250" s="6"/>
      <c r="H250" s="6"/>
      <c r="I250" s="6"/>
      <c r="J250" s="6"/>
      <c r="K250" s="6"/>
      <c r="L250" s="6"/>
      <c r="M250" s="6"/>
      <c r="N250" s="6"/>
      <c r="O250" s="31"/>
      <c r="P250" s="32"/>
      <c r="Q250" s="6"/>
      <c r="R250" s="59"/>
      <c r="S250" s="1"/>
      <c r="T250" s="1"/>
      <c r="U250" s="1"/>
    </row>
    <row r="251" spans="1:21" ht="9.75" customHeight="1" x14ac:dyDescent="0.4">
      <c r="A251" s="1"/>
      <c r="B251" s="1"/>
      <c r="C251" s="17"/>
      <c r="D251" s="17" t="s">
        <v>369</v>
      </c>
      <c r="E251" s="17"/>
      <c r="F251" s="32"/>
      <c r="G251" s="6"/>
      <c r="H251" s="6"/>
      <c r="I251" s="6"/>
      <c r="J251" s="6"/>
      <c r="K251" s="6"/>
      <c r="L251" s="6"/>
      <c r="M251" s="6"/>
      <c r="N251" s="6"/>
      <c r="O251" s="31"/>
      <c r="P251" s="32"/>
      <c r="Q251" s="6"/>
      <c r="R251" s="59"/>
      <c r="S251" s="1"/>
      <c r="T251" s="1"/>
      <c r="U251" s="1"/>
    </row>
    <row r="252" spans="1:21" ht="9.75" customHeight="1" x14ac:dyDescent="0.4">
      <c r="A252" s="1"/>
      <c r="B252" s="1"/>
      <c r="C252" s="17"/>
      <c r="D252" s="17" t="s">
        <v>369</v>
      </c>
      <c r="E252" s="17"/>
      <c r="F252" s="32"/>
      <c r="G252" s="6"/>
      <c r="H252" s="6"/>
      <c r="I252" s="6"/>
      <c r="J252" s="6"/>
      <c r="K252" s="6"/>
      <c r="L252" s="6"/>
      <c r="M252" s="6"/>
      <c r="N252" s="6"/>
      <c r="O252" s="31"/>
      <c r="P252" s="32"/>
      <c r="Q252" s="6"/>
      <c r="R252" s="59"/>
      <c r="S252" s="1"/>
      <c r="T252" s="1"/>
      <c r="U252" s="1"/>
    </row>
    <row r="253" spans="1:21" ht="9.75" customHeight="1" x14ac:dyDescent="0.4">
      <c r="A253" s="1"/>
      <c r="B253" s="1"/>
      <c r="C253" s="17"/>
      <c r="D253" s="17" t="s">
        <v>308</v>
      </c>
      <c r="E253" s="17">
        <v>1</v>
      </c>
      <c r="F253" s="32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32">
        <f>MIN(F253:O253)</f>
        <v>0</v>
      </c>
      <c r="Q253" s="6">
        <f>E253-P253</f>
        <v>1</v>
      </c>
      <c r="R253" s="59">
        <f>Q253/E253</f>
        <v>1</v>
      </c>
      <c r="S253" s="1"/>
      <c r="T253" s="1"/>
      <c r="U253" s="1"/>
    </row>
    <row r="254" spans="1:21" ht="9.75" customHeight="1" x14ac:dyDescent="0.4">
      <c r="A254" s="1"/>
      <c r="B254" s="1"/>
      <c r="C254" s="17"/>
      <c r="D254" s="17" t="s">
        <v>374</v>
      </c>
      <c r="E254" s="17"/>
      <c r="F254" s="32"/>
      <c r="G254" s="6"/>
      <c r="H254" s="6"/>
      <c r="I254" s="6"/>
      <c r="J254" s="6"/>
      <c r="K254" s="192"/>
      <c r="L254" s="192"/>
      <c r="M254" s="192"/>
      <c r="N254" s="192"/>
      <c r="O254" s="193"/>
      <c r="P254" s="32"/>
      <c r="Q254" s="6"/>
      <c r="R254" s="59"/>
      <c r="S254" s="1"/>
      <c r="T254" s="1"/>
      <c r="U254" s="1"/>
    </row>
    <row r="255" spans="1:21" ht="9.75" customHeight="1" x14ac:dyDescent="0.4">
      <c r="A255" s="1"/>
      <c r="B255" s="1"/>
      <c r="C255" s="17"/>
      <c r="D255" s="17" t="s">
        <v>374</v>
      </c>
      <c r="E255" s="17"/>
      <c r="F255" s="32"/>
      <c r="G255" s="6"/>
      <c r="H255" s="6"/>
      <c r="I255" s="6"/>
      <c r="J255" s="6"/>
      <c r="K255" s="192"/>
      <c r="L255" s="192"/>
      <c r="M255" s="192"/>
      <c r="N255" s="192"/>
      <c r="O255" s="193"/>
      <c r="P255" s="32"/>
      <c r="Q255" s="6"/>
      <c r="R255" s="59"/>
      <c r="S255" s="1"/>
      <c r="T255" s="1"/>
      <c r="U255" s="1"/>
    </row>
    <row r="256" spans="1:21" ht="9.75" customHeight="1" x14ac:dyDescent="0.4">
      <c r="A256" s="1"/>
      <c r="B256" s="1"/>
      <c r="C256" s="17"/>
      <c r="D256" s="17" t="s">
        <v>374</v>
      </c>
      <c r="E256" s="17"/>
      <c r="F256" s="32"/>
      <c r="G256" s="6"/>
      <c r="H256" s="6"/>
      <c r="I256" s="6"/>
      <c r="J256" s="6"/>
      <c r="K256" s="192"/>
      <c r="L256" s="192"/>
      <c r="M256" s="192"/>
      <c r="N256" s="192"/>
      <c r="O256" s="193"/>
      <c r="P256" s="32"/>
      <c r="Q256" s="6"/>
      <c r="R256" s="59"/>
      <c r="S256" s="1"/>
      <c r="T256" s="1"/>
      <c r="U256" s="1"/>
    </row>
    <row r="257" spans="1:21" ht="9.75" customHeight="1" x14ac:dyDescent="0.4">
      <c r="A257" s="1"/>
      <c r="B257" s="1"/>
      <c r="C257" s="17"/>
      <c r="D257" s="17" t="s">
        <v>374</v>
      </c>
      <c r="E257" s="17"/>
      <c r="F257" s="32"/>
      <c r="G257" s="6"/>
      <c r="H257" s="6"/>
      <c r="I257" s="6"/>
      <c r="J257" s="6"/>
      <c r="K257" s="192"/>
      <c r="L257" s="192"/>
      <c r="M257" s="192"/>
      <c r="N257" s="192"/>
      <c r="O257" s="193"/>
      <c r="P257" s="32"/>
      <c r="Q257" s="6"/>
      <c r="R257" s="59"/>
      <c r="S257" s="1"/>
      <c r="T257" s="1"/>
      <c r="U257" s="1"/>
    </row>
    <row r="258" spans="1:21" ht="9.75" customHeight="1" x14ac:dyDescent="0.4">
      <c r="A258" s="1"/>
      <c r="B258" s="1"/>
      <c r="C258" s="17"/>
      <c r="D258" s="17" t="s">
        <v>374</v>
      </c>
      <c r="E258" s="17"/>
      <c r="F258" s="32"/>
      <c r="G258" s="6"/>
      <c r="H258" s="6"/>
      <c r="I258" s="6"/>
      <c r="J258" s="6"/>
      <c r="K258" s="192"/>
      <c r="L258" s="192"/>
      <c r="M258" s="192"/>
      <c r="N258" s="192"/>
      <c r="O258" s="193"/>
      <c r="P258" s="32"/>
      <c r="Q258" s="6"/>
      <c r="R258" s="59"/>
      <c r="S258" s="1"/>
      <c r="T258" s="1"/>
      <c r="U258" s="1"/>
    </row>
    <row r="259" spans="1:21" ht="9.75" customHeight="1" x14ac:dyDescent="0.4">
      <c r="A259" s="1"/>
      <c r="B259" s="1"/>
      <c r="C259" s="17"/>
      <c r="D259" s="17" t="s">
        <v>374</v>
      </c>
      <c r="E259" s="17"/>
      <c r="F259" s="32"/>
      <c r="G259" s="6"/>
      <c r="H259" s="6"/>
      <c r="I259" s="6"/>
      <c r="J259" s="6"/>
      <c r="K259" s="192"/>
      <c r="L259" s="192"/>
      <c r="M259" s="192"/>
      <c r="N259" s="192"/>
      <c r="O259" s="193"/>
      <c r="P259" s="32"/>
      <c r="Q259" s="6"/>
      <c r="R259" s="59"/>
      <c r="S259" s="1"/>
      <c r="T259" s="1"/>
      <c r="U259" s="1"/>
    </row>
    <row r="260" spans="1:21" ht="9.75" customHeight="1" x14ac:dyDescent="0.4">
      <c r="A260" s="1"/>
      <c r="B260" s="1"/>
      <c r="C260" s="17"/>
      <c r="D260" s="17" t="s">
        <v>310</v>
      </c>
      <c r="E260" s="17">
        <v>3</v>
      </c>
      <c r="F260" s="32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</v>
      </c>
      <c r="N260" s="6">
        <v>1</v>
      </c>
      <c r="O260" s="6">
        <v>2</v>
      </c>
      <c r="P260" s="32">
        <f>MIN(F260:O260)</f>
        <v>0</v>
      </c>
      <c r="Q260" s="6">
        <f>E260-P260</f>
        <v>3</v>
      </c>
      <c r="R260" s="59">
        <f>Q260/E260</f>
        <v>1</v>
      </c>
      <c r="S260" s="1"/>
      <c r="T260" s="1"/>
      <c r="U260" s="1"/>
    </row>
    <row r="261" spans="1:21" ht="9.75" customHeight="1" x14ac:dyDescent="0.4">
      <c r="A261" s="1"/>
      <c r="B261" s="1"/>
      <c r="C261" s="17"/>
      <c r="D261" s="17" t="s">
        <v>311</v>
      </c>
      <c r="E261" s="17"/>
      <c r="F261" s="32"/>
      <c r="G261" s="6"/>
      <c r="H261" s="6"/>
      <c r="I261" s="6"/>
      <c r="J261" s="6"/>
      <c r="K261" s="192"/>
      <c r="L261" s="192"/>
      <c r="M261" s="192"/>
      <c r="N261" s="192"/>
      <c r="O261" s="193"/>
      <c r="P261" s="32"/>
      <c r="Q261" s="6"/>
      <c r="R261" s="59"/>
      <c r="S261" s="1"/>
      <c r="T261" s="1"/>
      <c r="U261" s="1"/>
    </row>
    <row r="262" spans="1:21" ht="9.75" customHeight="1" x14ac:dyDescent="0.4">
      <c r="A262" s="1"/>
      <c r="B262" s="1"/>
      <c r="C262" s="17"/>
      <c r="D262" s="17" t="s">
        <v>312</v>
      </c>
      <c r="E262" s="17">
        <v>2</v>
      </c>
      <c r="F262" s="32">
        <v>1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1</v>
      </c>
      <c r="O262" s="6">
        <v>1</v>
      </c>
      <c r="P262" s="32">
        <f t="shared" ref="P262:P264" si="15">MIN(F262:O262)</f>
        <v>0</v>
      </c>
      <c r="Q262" s="6">
        <f t="shared" ref="Q262:Q264" si="16">E262-P262</f>
        <v>2</v>
      </c>
      <c r="R262" s="59">
        <f t="shared" ref="R262:R264" si="17">Q262/E262</f>
        <v>1</v>
      </c>
      <c r="S262" s="1"/>
      <c r="T262" s="1"/>
      <c r="U262" s="1"/>
    </row>
    <row r="263" spans="1:21" ht="9.75" customHeight="1" x14ac:dyDescent="0.4">
      <c r="A263" s="1"/>
      <c r="B263" s="1"/>
      <c r="C263" s="17"/>
      <c r="D263" s="17" t="s">
        <v>313</v>
      </c>
      <c r="E263" s="17">
        <v>4</v>
      </c>
      <c r="F263" s="32">
        <v>3</v>
      </c>
      <c r="G263" s="6">
        <v>3</v>
      </c>
      <c r="H263" s="6">
        <v>3</v>
      </c>
      <c r="I263" s="6">
        <v>1</v>
      </c>
      <c r="J263" s="6">
        <v>0</v>
      </c>
      <c r="K263" s="6">
        <v>1</v>
      </c>
      <c r="L263" s="6">
        <v>0</v>
      </c>
      <c r="M263" s="6">
        <v>0</v>
      </c>
      <c r="N263" s="6">
        <v>1</v>
      </c>
      <c r="O263" s="6">
        <v>2</v>
      </c>
      <c r="P263" s="32">
        <f t="shared" si="15"/>
        <v>0</v>
      </c>
      <c r="Q263" s="6">
        <f t="shared" si="16"/>
        <v>4</v>
      </c>
      <c r="R263" s="59">
        <f t="shared" si="17"/>
        <v>1</v>
      </c>
      <c r="S263" s="1"/>
      <c r="T263" s="1"/>
      <c r="U263" s="1"/>
    </row>
    <row r="264" spans="1:21" ht="9.75" customHeight="1" x14ac:dyDescent="0.4">
      <c r="A264" s="1"/>
      <c r="B264" s="1" t="s">
        <v>395</v>
      </c>
      <c r="C264" s="34"/>
      <c r="D264" s="65" t="s">
        <v>314</v>
      </c>
      <c r="E264" s="65">
        <f t="shared" ref="E264:O264" si="18">SUM(E248:E263)</f>
        <v>10</v>
      </c>
      <c r="F264" s="104">
        <f t="shared" si="18"/>
        <v>4</v>
      </c>
      <c r="G264" s="128">
        <f t="shared" si="18"/>
        <v>3</v>
      </c>
      <c r="H264" s="128">
        <f t="shared" si="18"/>
        <v>3</v>
      </c>
      <c r="I264" s="128">
        <f t="shared" si="18"/>
        <v>1</v>
      </c>
      <c r="J264" s="128">
        <f t="shared" si="18"/>
        <v>0</v>
      </c>
      <c r="K264" s="128">
        <f t="shared" si="18"/>
        <v>1</v>
      </c>
      <c r="L264" s="128">
        <f t="shared" si="18"/>
        <v>0</v>
      </c>
      <c r="M264" s="128">
        <f t="shared" si="18"/>
        <v>1</v>
      </c>
      <c r="N264" s="128">
        <f t="shared" si="18"/>
        <v>3</v>
      </c>
      <c r="O264" s="129">
        <f t="shared" si="18"/>
        <v>5</v>
      </c>
      <c r="P264" s="104">
        <f t="shared" si="15"/>
        <v>0</v>
      </c>
      <c r="Q264" s="128">
        <f t="shared" si="16"/>
        <v>10</v>
      </c>
      <c r="R264" s="72">
        <f t="shared" si="17"/>
        <v>1</v>
      </c>
      <c r="S264" s="1"/>
      <c r="T264" s="1"/>
      <c r="U264" s="1"/>
    </row>
    <row r="265" spans="1:21" ht="9.75" customHeight="1" x14ac:dyDescent="0.4">
      <c r="A265" s="1"/>
      <c r="B265" s="1"/>
      <c r="C265" s="15" t="s">
        <v>128</v>
      </c>
      <c r="D265" s="15" t="s">
        <v>300</v>
      </c>
      <c r="E265" s="15"/>
      <c r="F265" s="73"/>
      <c r="G265" s="108"/>
      <c r="H265" s="108"/>
      <c r="I265" s="108"/>
      <c r="J265" s="108"/>
      <c r="K265" s="108"/>
      <c r="L265" s="108"/>
      <c r="M265" s="108"/>
      <c r="N265" s="108"/>
      <c r="O265" s="109"/>
      <c r="P265" s="73"/>
      <c r="Q265" s="108"/>
      <c r="R265" s="188"/>
      <c r="S265" s="1"/>
      <c r="T265" s="1"/>
      <c r="U265" s="1"/>
    </row>
    <row r="266" spans="1:21" ht="9.75" customHeight="1" x14ac:dyDescent="0.4">
      <c r="A266" s="1"/>
      <c r="B266" s="1"/>
      <c r="C266" s="17"/>
      <c r="D266" s="17" t="s">
        <v>301</v>
      </c>
      <c r="E266" s="17"/>
      <c r="F266" s="32"/>
      <c r="G266" s="6"/>
      <c r="H266" s="6"/>
      <c r="I266" s="6"/>
      <c r="J266" s="6"/>
      <c r="K266" s="6"/>
      <c r="L266" s="6"/>
      <c r="M266" s="6"/>
      <c r="N266" s="6"/>
      <c r="O266" s="31"/>
      <c r="P266" s="32"/>
      <c r="Q266" s="6"/>
      <c r="R266" s="59"/>
      <c r="S266" s="1"/>
      <c r="T266" s="1"/>
      <c r="U266" s="1"/>
    </row>
    <row r="267" spans="1:21" ht="9.75" customHeight="1" x14ac:dyDescent="0.4">
      <c r="A267" s="1"/>
      <c r="B267" s="1"/>
      <c r="C267" s="17"/>
      <c r="D267" s="17" t="s">
        <v>303</v>
      </c>
      <c r="E267" s="17"/>
      <c r="F267" s="32"/>
      <c r="G267" s="6"/>
      <c r="H267" s="6"/>
      <c r="I267" s="6"/>
      <c r="J267" s="6"/>
      <c r="K267" s="6"/>
      <c r="L267" s="6"/>
      <c r="M267" s="6"/>
      <c r="N267" s="6"/>
      <c r="O267" s="31"/>
      <c r="P267" s="32"/>
      <c r="Q267" s="6"/>
      <c r="R267" s="59"/>
      <c r="S267" s="1"/>
      <c r="T267" s="1"/>
      <c r="U267" s="1"/>
    </row>
    <row r="268" spans="1:21" ht="9.75" customHeight="1" x14ac:dyDescent="0.4">
      <c r="A268" s="1"/>
      <c r="B268" s="1"/>
      <c r="C268" s="17"/>
      <c r="D268" s="17" t="s">
        <v>369</v>
      </c>
      <c r="E268" s="17"/>
      <c r="F268" s="32"/>
      <c r="G268" s="6"/>
      <c r="H268" s="6"/>
      <c r="I268" s="6"/>
      <c r="J268" s="6"/>
      <c r="K268" s="6"/>
      <c r="L268" s="6"/>
      <c r="M268" s="6"/>
      <c r="N268" s="6"/>
      <c r="O268" s="31"/>
      <c r="P268" s="32"/>
      <c r="Q268" s="6"/>
      <c r="R268" s="59"/>
      <c r="S268" s="1"/>
      <c r="T268" s="1"/>
      <c r="U268" s="1"/>
    </row>
    <row r="269" spans="1:21" ht="9.75" customHeight="1" x14ac:dyDescent="0.4">
      <c r="A269" s="1"/>
      <c r="B269" s="1"/>
      <c r="C269" s="17"/>
      <c r="D269" s="17" t="s">
        <v>369</v>
      </c>
      <c r="E269" s="17"/>
      <c r="F269" s="32"/>
      <c r="G269" s="6"/>
      <c r="H269" s="6"/>
      <c r="I269" s="6"/>
      <c r="J269" s="6"/>
      <c r="K269" s="6"/>
      <c r="L269" s="6"/>
      <c r="M269" s="6"/>
      <c r="N269" s="6"/>
      <c r="O269" s="31"/>
      <c r="P269" s="32"/>
      <c r="Q269" s="6"/>
      <c r="R269" s="59"/>
      <c r="S269" s="1"/>
      <c r="T269" s="1"/>
      <c r="U269" s="1"/>
    </row>
    <row r="270" spans="1:21" ht="9.75" customHeight="1" x14ac:dyDescent="0.4">
      <c r="A270" s="1"/>
      <c r="B270" s="1"/>
      <c r="C270" s="17"/>
      <c r="D270" s="17" t="s">
        <v>308</v>
      </c>
      <c r="E270" s="17">
        <v>5</v>
      </c>
      <c r="F270" s="32">
        <v>2</v>
      </c>
      <c r="G270" s="6">
        <v>2</v>
      </c>
      <c r="H270" s="6">
        <v>2</v>
      </c>
      <c r="I270" s="6">
        <v>2</v>
      </c>
      <c r="J270" s="6">
        <v>3</v>
      </c>
      <c r="K270" s="74">
        <v>3</v>
      </c>
      <c r="L270" s="74">
        <v>2</v>
      </c>
      <c r="M270" s="74">
        <v>2</v>
      </c>
      <c r="N270" s="74">
        <v>2</v>
      </c>
      <c r="O270" s="123">
        <v>2</v>
      </c>
      <c r="P270" s="32">
        <f>MIN(F270:O270)</f>
        <v>2</v>
      </c>
      <c r="Q270" s="6">
        <f>E270-P270</f>
        <v>3</v>
      </c>
      <c r="R270" s="59">
        <f>Q270/E270</f>
        <v>0.6</v>
      </c>
      <c r="S270" s="1"/>
      <c r="T270" s="1"/>
      <c r="U270" s="1"/>
    </row>
    <row r="271" spans="1:21" ht="9.75" customHeight="1" x14ac:dyDescent="0.4">
      <c r="A271" s="1"/>
      <c r="B271" s="1"/>
      <c r="C271" s="17"/>
      <c r="D271" s="17" t="s">
        <v>374</v>
      </c>
      <c r="E271" s="17"/>
      <c r="F271" s="32"/>
      <c r="G271" s="6"/>
      <c r="H271" s="6"/>
      <c r="I271" s="6"/>
      <c r="J271" s="6"/>
      <c r="K271" s="6"/>
      <c r="L271" s="6"/>
      <c r="M271" s="6"/>
      <c r="N271" s="6"/>
      <c r="O271" s="31"/>
      <c r="P271" s="32"/>
      <c r="Q271" s="6"/>
      <c r="R271" s="59"/>
      <c r="S271" s="1"/>
      <c r="T271" s="1"/>
      <c r="U271" s="1"/>
    </row>
    <row r="272" spans="1:21" ht="9.75" customHeight="1" x14ac:dyDescent="0.4">
      <c r="A272" s="1"/>
      <c r="B272" s="1"/>
      <c r="C272" s="17"/>
      <c r="D272" s="17" t="s">
        <v>374</v>
      </c>
      <c r="E272" s="17"/>
      <c r="F272" s="32"/>
      <c r="G272" s="6"/>
      <c r="H272" s="6"/>
      <c r="I272" s="6"/>
      <c r="J272" s="6"/>
      <c r="K272" s="6"/>
      <c r="L272" s="6"/>
      <c r="M272" s="6"/>
      <c r="N272" s="6"/>
      <c r="O272" s="31"/>
      <c r="P272" s="32"/>
      <c r="Q272" s="6"/>
      <c r="R272" s="59"/>
      <c r="S272" s="1"/>
      <c r="T272" s="1"/>
      <c r="U272" s="1"/>
    </row>
    <row r="273" spans="1:21" ht="9.75" customHeight="1" x14ac:dyDescent="0.4">
      <c r="A273" s="1"/>
      <c r="B273" s="1"/>
      <c r="C273" s="17"/>
      <c r="D273" s="17" t="s">
        <v>374</v>
      </c>
      <c r="E273" s="17"/>
      <c r="F273" s="32"/>
      <c r="G273" s="6"/>
      <c r="H273" s="6"/>
      <c r="I273" s="6"/>
      <c r="J273" s="6"/>
      <c r="K273" s="6"/>
      <c r="L273" s="6"/>
      <c r="M273" s="6"/>
      <c r="N273" s="6"/>
      <c r="O273" s="31"/>
      <c r="P273" s="32"/>
      <c r="Q273" s="6"/>
      <c r="R273" s="59"/>
      <c r="S273" s="1"/>
      <c r="T273" s="1"/>
      <c r="U273" s="1"/>
    </row>
    <row r="274" spans="1:21" ht="9.75" customHeight="1" x14ac:dyDescent="0.4">
      <c r="A274" s="1"/>
      <c r="B274" s="1"/>
      <c r="C274" s="17"/>
      <c r="D274" s="17" t="s">
        <v>374</v>
      </c>
      <c r="E274" s="17"/>
      <c r="F274" s="32"/>
      <c r="G274" s="6"/>
      <c r="H274" s="6"/>
      <c r="I274" s="6"/>
      <c r="J274" s="6"/>
      <c r="K274" s="6"/>
      <c r="L274" s="6"/>
      <c r="M274" s="6"/>
      <c r="N274" s="6"/>
      <c r="O274" s="31"/>
      <c r="P274" s="32"/>
      <c r="Q274" s="6"/>
      <c r="R274" s="59"/>
      <c r="S274" s="1"/>
      <c r="T274" s="1"/>
      <c r="U274" s="1"/>
    </row>
    <row r="275" spans="1:21" ht="9.75" customHeight="1" x14ac:dyDescent="0.4">
      <c r="A275" s="1"/>
      <c r="B275" s="1"/>
      <c r="C275" s="17"/>
      <c r="D275" s="17" t="s">
        <v>374</v>
      </c>
      <c r="E275" s="17"/>
      <c r="F275" s="32"/>
      <c r="G275" s="6"/>
      <c r="H275" s="6"/>
      <c r="I275" s="6"/>
      <c r="J275" s="6"/>
      <c r="K275" s="6"/>
      <c r="L275" s="6"/>
      <c r="M275" s="6"/>
      <c r="N275" s="6"/>
      <c r="O275" s="31"/>
      <c r="P275" s="32"/>
      <c r="Q275" s="6"/>
      <c r="R275" s="59"/>
      <c r="S275" s="1"/>
      <c r="T275" s="1"/>
      <c r="U275" s="1"/>
    </row>
    <row r="276" spans="1:21" ht="9.75" customHeight="1" x14ac:dyDescent="0.4">
      <c r="A276" s="1"/>
      <c r="B276" s="1"/>
      <c r="C276" s="17"/>
      <c r="D276" s="17" t="s">
        <v>374</v>
      </c>
      <c r="E276" s="17"/>
      <c r="F276" s="32"/>
      <c r="G276" s="6"/>
      <c r="H276" s="6"/>
      <c r="I276" s="6"/>
      <c r="J276" s="6"/>
      <c r="K276" s="6"/>
      <c r="L276" s="6"/>
      <c r="M276" s="6"/>
      <c r="N276" s="6"/>
      <c r="O276" s="31"/>
      <c r="P276" s="32"/>
      <c r="Q276" s="6"/>
      <c r="R276" s="59"/>
      <c r="S276" s="1"/>
      <c r="T276" s="1"/>
      <c r="U276" s="1"/>
    </row>
    <row r="277" spans="1:21" ht="9.75" customHeight="1" x14ac:dyDescent="0.4">
      <c r="A277" s="1"/>
      <c r="B277" s="1"/>
      <c r="C277" s="17"/>
      <c r="D277" s="17" t="s">
        <v>310</v>
      </c>
      <c r="E277" s="17"/>
      <c r="F277" s="32"/>
      <c r="G277" s="6"/>
      <c r="H277" s="6"/>
      <c r="I277" s="6"/>
      <c r="J277" s="6"/>
      <c r="K277" s="6"/>
      <c r="L277" s="6"/>
      <c r="M277" s="6"/>
      <c r="N277" s="6"/>
      <c r="O277" s="31"/>
      <c r="P277" s="32"/>
      <c r="Q277" s="6"/>
      <c r="R277" s="59"/>
      <c r="S277" s="1"/>
      <c r="T277" s="1"/>
      <c r="U277" s="1"/>
    </row>
    <row r="278" spans="1:21" ht="9.75" customHeight="1" x14ac:dyDescent="0.4">
      <c r="A278" s="1"/>
      <c r="B278" s="1"/>
      <c r="C278" s="17"/>
      <c r="D278" s="17" t="s">
        <v>311</v>
      </c>
      <c r="E278" s="17"/>
      <c r="F278" s="32"/>
      <c r="G278" s="6"/>
      <c r="H278" s="6"/>
      <c r="I278" s="6"/>
      <c r="J278" s="6"/>
      <c r="K278" s="6"/>
      <c r="L278" s="6"/>
      <c r="M278" s="6"/>
      <c r="N278" s="6"/>
      <c r="O278" s="31"/>
      <c r="P278" s="32"/>
      <c r="Q278" s="6"/>
      <c r="R278" s="59"/>
      <c r="S278" s="1"/>
      <c r="T278" s="1"/>
      <c r="U278" s="1"/>
    </row>
    <row r="279" spans="1:21" ht="9.75" customHeight="1" x14ac:dyDescent="0.4">
      <c r="A279" s="1"/>
      <c r="B279" s="1"/>
      <c r="C279" s="17"/>
      <c r="D279" s="17" t="s">
        <v>312</v>
      </c>
      <c r="E279" s="17"/>
      <c r="F279" s="32"/>
      <c r="G279" s="6"/>
      <c r="H279" s="6"/>
      <c r="I279" s="6"/>
      <c r="J279" s="6"/>
      <c r="K279" s="6"/>
      <c r="L279" s="6"/>
      <c r="M279" s="6"/>
      <c r="N279" s="6"/>
      <c r="O279" s="31"/>
      <c r="P279" s="32"/>
      <c r="Q279" s="6"/>
      <c r="R279" s="59"/>
      <c r="S279" s="1"/>
      <c r="T279" s="1"/>
      <c r="U279" s="1"/>
    </row>
    <row r="280" spans="1:21" ht="9.75" customHeight="1" x14ac:dyDescent="0.4">
      <c r="A280" s="1"/>
      <c r="B280" s="1"/>
      <c r="C280" s="17"/>
      <c r="D280" s="17" t="s">
        <v>313</v>
      </c>
      <c r="E280" s="17"/>
      <c r="F280" s="32"/>
      <c r="G280" s="6"/>
      <c r="H280" s="6"/>
      <c r="I280" s="6"/>
      <c r="J280" s="6"/>
      <c r="K280" s="6"/>
      <c r="L280" s="6"/>
      <c r="M280" s="6"/>
      <c r="N280" s="6"/>
      <c r="O280" s="31"/>
      <c r="P280" s="32"/>
      <c r="Q280" s="6"/>
      <c r="R280" s="59"/>
      <c r="S280" s="1"/>
      <c r="T280" s="1"/>
      <c r="U280" s="1"/>
    </row>
    <row r="281" spans="1:21" ht="9.75" customHeight="1" x14ac:dyDescent="0.4">
      <c r="A281" s="1"/>
      <c r="B281" s="1" t="s">
        <v>395</v>
      </c>
      <c r="C281" s="34"/>
      <c r="D281" s="65" t="s">
        <v>314</v>
      </c>
      <c r="E281" s="65">
        <f t="shared" ref="E281:O281" si="19">SUM(E265:E280)</f>
        <v>5</v>
      </c>
      <c r="F281" s="104">
        <f t="shared" si="19"/>
        <v>2</v>
      </c>
      <c r="G281" s="128">
        <f t="shared" si="19"/>
        <v>2</v>
      </c>
      <c r="H281" s="128">
        <f t="shared" si="19"/>
        <v>2</v>
      </c>
      <c r="I281" s="128">
        <f t="shared" si="19"/>
        <v>2</v>
      </c>
      <c r="J281" s="128">
        <f t="shared" si="19"/>
        <v>3</v>
      </c>
      <c r="K281" s="128">
        <f t="shared" si="19"/>
        <v>3</v>
      </c>
      <c r="L281" s="128">
        <f t="shared" si="19"/>
        <v>2</v>
      </c>
      <c r="M281" s="128">
        <f t="shared" si="19"/>
        <v>2</v>
      </c>
      <c r="N281" s="128">
        <f t="shared" si="19"/>
        <v>2</v>
      </c>
      <c r="O281" s="129">
        <f t="shared" si="19"/>
        <v>2</v>
      </c>
      <c r="P281" s="104">
        <f>MIN(F281:O281)</f>
        <v>2</v>
      </c>
      <c r="Q281" s="128">
        <f>E281-P281</f>
        <v>3</v>
      </c>
      <c r="R281" s="72">
        <f>Q281/E281</f>
        <v>0.6</v>
      </c>
      <c r="S281" s="1"/>
      <c r="T281" s="1"/>
      <c r="U281" s="1"/>
    </row>
    <row r="282" spans="1:21" ht="9.75" customHeight="1" x14ac:dyDescent="0.4">
      <c r="A282" s="1"/>
      <c r="B282" s="1"/>
      <c r="C282" s="15" t="s">
        <v>145</v>
      </c>
      <c r="D282" s="15" t="s">
        <v>300</v>
      </c>
      <c r="E282" s="15"/>
      <c r="F282" s="73"/>
      <c r="G282" s="108"/>
      <c r="H282" s="108"/>
      <c r="I282" s="108"/>
      <c r="J282" s="108"/>
      <c r="K282" s="108"/>
      <c r="L282" s="108"/>
      <c r="M282" s="108"/>
      <c r="N282" s="108"/>
      <c r="O282" s="109"/>
      <c r="P282" s="73"/>
      <c r="Q282" s="108"/>
      <c r="R282" s="188"/>
      <c r="S282" s="1"/>
      <c r="T282" s="1"/>
      <c r="U282" s="1"/>
    </row>
    <row r="283" spans="1:21" ht="9.75" customHeight="1" x14ac:dyDescent="0.4">
      <c r="A283" s="1"/>
      <c r="B283" s="1"/>
      <c r="C283" s="17"/>
      <c r="D283" s="17" t="s">
        <v>301</v>
      </c>
      <c r="E283" s="17"/>
      <c r="F283" s="32"/>
      <c r="G283" s="6"/>
      <c r="H283" s="6"/>
      <c r="I283" s="6"/>
      <c r="J283" s="6"/>
      <c r="K283" s="6"/>
      <c r="L283" s="6"/>
      <c r="M283" s="6"/>
      <c r="N283" s="6"/>
      <c r="O283" s="31"/>
      <c r="P283" s="32"/>
      <c r="Q283" s="6"/>
      <c r="R283" s="59"/>
      <c r="S283" s="1"/>
      <c r="T283" s="1"/>
      <c r="U283" s="1"/>
    </row>
    <row r="284" spans="1:21" ht="9.75" customHeight="1" x14ac:dyDescent="0.4">
      <c r="A284" s="1"/>
      <c r="B284" s="1"/>
      <c r="C284" s="17"/>
      <c r="D284" s="17" t="s">
        <v>303</v>
      </c>
      <c r="E284" s="17"/>
      <c r="F284" s="32"/>
      <c r="G284" s="6"/>
      <c r="H284" s="6"/>
      <c r="I284" s="6"/>
      <c r="J284" s="6"/>
      <c r="K284" s="6"/>
      <c r="L284" s="6"/>
      <c r="M284" s="6"/>
      <c r="N284" s="6"/>
      <c r="O284" s="31"/>
      <c r="P284" s="32"/>
      <c r="Q284" s="6"/>
      <c r="R284" s="59"/>
      <c r="S284" s="1"/>
      <c r="T284" s="1"/>
      <c r="U284" s="1"/>
    </row>
    <row r="285" spans="1:21" ht="9.75" customHeight="1" x14ac:dyDescent="0.4">
      <c r="A285" s="1"/>
      <c r="B285" s="1"/>
      <c r="C285" s="17"/>
      <c r="D285" s="17" t="s">
        <v>369</v>
      </c>
      <c r="E285" s="17"/>
      <c r="F285" s="32"/>
      <c r="G285" s="6"/>
      <c r="H285" s="6"/>
      <c r="I285" s="6"/>
      <c r="J285" s="6"/>
      <c r="K285" s="6"/>
      <c r="L285" s="6"/>
      <c r="M285" s="6"/>
      <c r="N285" s="6"/>
      <c r="O285" s="31"/>
      <c r="P285" s="32"/>
      <c r="Q285" s="6"/>
      <c r="R285" s="59"/>
      <c r="S285" s="1"/>
      <c r="T285" s="1"/>
      <c r="U285" s="1"/>
    </row>
    <row r="286" spans="1:21" ht="9.75" customHeight="1" x14ac:dyDescent="0.4">
      <c r="A286" s="1"/>
      <c r="B286" s="1"/>
      <c r="C286" s="17"/>
      <c r="D286" s="17" t="s">
        <v>369</v>
      </c>
      <c r="E286" s="17"/>
      <c r="F286" s="32"/>
      <c r="G286" s="6"/>
      <c r="H286" s="6"/>
      <c r="I286" s="6"/>
      <c r="J286" s="6"/>
      <c r="K286" s="6"/>
      <c r="L286" s="6"/>
      <c r="M286" s="6"/>
      <c r="N286" s="6"/>
      <c r="O286" s="31"/>
      <c r="P286" s="32"/>
      <c r="Q286" s="6"/>
      <c r="R286" s="59"/>
      <c r="S286" s="1"/>
      <c r="T286" s="1"/>
      <c r="U286" s="1"/>
    </row>
    <row r="287" spans="1:21" ht="9.75" customHeight="1" x14ac:dyDescent="0.4">
      <c r="A287" s="1"/>
      <c r="B287" s="1"/>
      <c r="C287" s="17"/>
      <c r="D287" s="17" t="s">
        <v>308</v>
      </c>
      <c r="E287" s="17"/>
      <c r="F287" s="32"/>
      <c r="G287" s="6"/>
      <c r="H287" s="6"/>
      <c r="I287" s="6"/>
      <c r="J287" s="6"/>
      <c r="K287" s="6"/>
      <c r="L287" s="6"/>
      <c r="M287" s="6"/>
      <c r="N287" s="6"/>
      <c r="O287" s="31"/>
      <c r="P287" s="32"/>
      <c r="Q287" s="6"/>
      <c r="R287" s="59"/>
      <c r="S287" s="1"/>
      <c r="T287" s="1"/>
      <c r="U287" s="1"/>
    </row>
    <row r="288" spans="1:21" ht="9.75" customHeight="1" x14ac:dyDescent="0.4">
      <c r="A288" s="1"/>
      <c r="B288" s="1"/>
      <c r="C288" s="17"/>
      <c r="D288" s="17" t="s">
        <v>415</v>
      </c>
      <c r="E288" s="17">
        <v>2</v>
      </c>
      <c r="F288" s="32">
        <v>2</v>
      </c>
      <c r="G288" s="6">
        <v>1</v>
      </c>
      <c r="H288" s="6">
        <v>1</v>
      </c>
      <c r="I288" s="6">
        <v>1</v>
      </c>
      <c r="J288" s="6">
        <v>1</v>
      </c>
      <c r="K288" s="74">
        <v>1</v>
      </c>
      <c r="L288" s="74">
        <v>1</v>
      </c>
      <c r="M288" s="74">
        <v>2</v>
      </c>
      <c r="N288" s="74">
        <v>2</v>
      </c>
      <c r="O288" s="123">
        <v>2</v>
      </c>
      <c r="P288" s="32">
        <f>MIN(F288:O288)</f>
        <v>1</v>
      </c>
      <c r="Q288" s="6">
        <f>E288-P288</f>
        <v>1</v>
      </c>
      <c r="R288" s="59">
        <f>Q288/E288</f>
        <v>0.5</v>
      </c>
      <c r="S288" s="1"/>
      <c r="T288" s="1"/>
      <c r="U288" s="1"/>
    </row>
    <row r="289" spans="1:21" ht="9.75" customHeight="1" x14ac:dyDescent="0.4">
      <c r="A289" s="1"/>
      <c r="B289" s="1"/>
      <c r="C289" s="17"/>
      <c r="D289" s="17" t="s">
        <v>374</v>
      </c>
      <c r="E289" s="17"/>
      <c r="F289" s="32"/>
      <c r="G289" s="6"/>
      <c r="H289" s="6"/>
      <c r="I289" s="6"/>
      <c r="J289" s="6"/>
      <c r="K289" s="6"/>
      <c r="L289" s="6"/>
      <c r="M289" s="6"/>
      <c r="N289" s="6"/>
      <c r="O289" s="31"/>
      <c r="P289" s="32"/>
      <c r="Q289" s="6"/>
      <c r="R289" s="59"/>
      <c r="S289" s="1"/>
      <c r="T289" s="1"/>
      <c r="U289" s="1"/>
    </row>
    <row r="290" spans="1:21" ht="9.75" customHeight="1" x14ac:dyDescent="0.4">
      <c r="A290" s="1"/>
      <c r="B290" s="1"/>
      <c r="C290" s="17"/>
      <c r="D290" s="17" t="s">
        <v>374</v>
      </c>
      <c r="E290" s="17"/>
      <c r="F290" s="32"/>
      <c r="G290" s="6"/>
      <c r="H290" s="6"/>
      <c r="I290" s="6"/>
      <c r="J290" s="6"/>
      <c r="K290" s="6"/>
      <c r="L290" s="6"/>
      <c r="M290" s="6"/>
      <c r="N290" s="6"/>
      <c r="O290" s="31"/>
      <c r="P290" s="32"/>
      <c r="Q290" s="6"/>
      <c r="R290" s="59"/>
      <c r="S290" s="1"/>
      <c r="T290" s="1"/>
      <c r="U290" s="1"/>
    </row>
    <row r="291" spans="1:21" ht="9.75" customHeight="1" x14ac:dyDescent="0.4">
      <c r="A291" s="1"/>
      <c r="B291" s="1"/>
      <c r="C291" s="17"/>
      <c r="D291" s="17" t="s">
        <v>374</v>
      </c>
      <c r="E291" s="17"/>
      <c r="F291" s="32"/>
      <c r="G291" s="6"/>
      <c r="H291" s="6"/>
      <c r="I291" s="6"/>
      <c r="J291" s="6"/>
      <c r="K291" s="6"/>
      <c r="L291" s="6"/>
      <c r="M291" s="6"/>
      <c r="N291" s="6"/>
      <c r="O291" s="31"/>
      <c r="P291" s="32"/>
      <c r="Q291" s="6"/>
      <c r="R291" s="59"/>
      <c r="S291" s="1"/>
      <c r="T291" s="1"/>
      <c r="U291" s="1"/>
    </row>
    <row r="292" spans="1:21" ht="9.75" customHeight="1" x14ac:dyDescent="0.4">
      <c r="A292" s="1"/>
      <c r="B292" s="1"/>
      <c r="C292" s="17"/>
      <c r="D292" s="17" t="s">
        <v>374</v>
      </c>
      <c r="E292" s="17"/>
      <c r="F292" s="32"/>
      <c r="G292" s="6"/>
      <c r="H292" s="6"/>
      <c r="I292" s="6"/>
      <c r="J292" s="6"/>
      <c r="K292" s="6"/>
      <c r="L292" s="6"/>
      <c r="M292" s="6"/>
      <c r="N292" s="6"/>
      <c r="O292" s="31"/>
      <c r="P292" s="32"/>
      <c r="Q292" s="6"/>
      <c r="R292" s="59"/>
      <c r="S292" s="1"/>
      <c r="T292" s="1"/>
      <c r="U292" s="1"/>
    </row>
    <row r="293" spans="1:21" ht="9.75" customHeight="1" x14ac:dyDescent="0.4">
      <c r="A293" s="1"/>
      <c r="B293" s="1"/>
      <c r="C293" s="17"/>
      <c r="D293" s="17" t="s">
        <v>374</v>
      </c>
      <c r="E293" s="17"/>
      <c r="F293" s="32"/>
      <c r="G293" s="6"/>
      <c r="H293" s="6"/>
      <c r="I293" s="6"/>
      <c r="J293" s="6"/>
      <c r="K293" s="6"/>
      <c r="L293" s="6"/>
      <c r="M293" s="6"/>
      <c r="N293" s="6"/>
      <c r="O293" s="31"/>
      <c r="P293" s="32"/>
      <c r="Q293" s="6"/>
      <c r="R293" s="59"/>
      <c r="S293" s="1"/>
      <c r="T293" s="1"/>
      <c r="U293" s="1"/>
    </row>
    <row r="294" spans="1:21" ht="9.75" customHeight="1" x14ac:dyDescent="0.4">
      <c r="A294" s="1"/>
      <c r="B294" s="1"/>
      <c r="C294" s="17"/>
      <c r="D294" s="17" t="s">
        <v>310</v>
      </c>
      <c r="E294" s="17"/>
      <c r="F294" s="32"/>
      <c r="G294" s="6"/>
      <c r="H294" s="6"/>
      <c r="I294" s="6"/>
      <c r="J294" s="6"/>
      <c r="K294" s="6"/>
      <c r="L294" s="6"/>
      <c r="M294" s="6"/>
      <c r="N294" s="6"/>
      <c r="O294" s="31"/>
      <c r="P294" s="32"/>
      <c r="Q294" s="6"/>
      <c r="R294" s="59"/>
      <c r="S294" s="1"/>
      <c r="T294" s="1"/>
      <c r="U294" s="1"/>
    </row>
    <row r="295" spans="1:21" ht="9.75" customHeight="1" x14ac:dyDescent="0.4">
      <c r="A295" s="1"/>
      <c r="B295" s="1"/>
      <c r="C295" s="17"/>
      <c r="D295" s="17" t="s">
        <v>311</v>
      </c>
      <c r="E295" s="17"/>
      <c r="F295" s="32"/>
      <c r="G295" s="6"/>
      <c r="H295" s="6"/>
      <c r="I295" s="6"/>
      <c r="J295" s="6"/>
      <c r="K295" s="6"/>
      <c r="L295" s="6"/>
      <c r="M295" s="6"/>
      <c r="N295" s="6"/>
      <c r="O295" s="31"/>
      <c r="P295" s="32"/>
      <c r="Q295" s="6"/>
      <c r="R295" s="59"/>
      <c r="S295" s="1"/>
      <c r="T295" s="1"/>
      <c r="U295" s="1"/>
    </row>
    <row r="296" spans="1:21" ht="9.75" customHeight="1" x14ac:dyDescent="0.4">
      <c r="A296" s="1"/>
      <c r="B296" s="1"/>
      <c r="C296" s="17"/>
      <c r="D296" s="17" t="s">
        <v>312</v>
      </c>
      <c r="E296" s="17"/>
      <c r="F296" s="32"/>
      <c r="G296" s="6"/>
      <c r="H296" s="6"/>
      <c r="I296" s="6"/>
      <c r="J296" s="6"/>
      <c r="K296" s="6"/>
      <c r="L296" s="6"/>
      <c r="M296" s="6"/>
      <c r="N296" s="6"/>
      <c r="O296" s="31"/>
      <c r="P296" s="32"/>
      <c r="Q296" s="6"/>
      <c r="R296" s="59"/>
      <c r="S296" s="1"/>
      <c r="T296" s="1"/>
      <c r="U296" s="1"/>
    </row>
    <row r="297" spans="1:21" ht="9.75" customHeight="1" x14ac:dyDescent="0.4">
      <c r="A297" s="1"/>
      <c r="B297" s="1"/>
      <c r="C297" s="17"/>
      <c r="D297" s="17" t="s">
        <v>313</v>
      </c>
      <c r="E297" s="17"/>
      <c r="F297" s="32"/>
      <c r="G297" s="6"/>
      <c r="H297" s="6"/>
      <c r="I297" s="6"/>
      <c r="J297" s="6"/>
      <c r="K297" s="6"/>
      <c r="L297" s="6"/>
      <c r="M297" s="6"/>
      <c r="N297" s="6"/>
      <c r="O297" s="31"/>
      <c r="P297" s="32"/>
      <c r="Q297" s="6"/>
      <c r="R297" s="59"/>
      <c r="S297" s="1"/>
      <c r="T297" s="1"/>
      <c r="U297" s="1"/>
    </row>
    <row r="298" spans="1:21" ht="9.75" customHeight="1" x14ac:dyDescent="0.4">
      <c r="A298" s="1"/>
      <c r="B298" s="1" t="s">
        <v>395</v>
      </c>
      <c r="C298" s="34"/>
      <c r="D298" s="65" t="s">
        <v>314</v>
      </c>
      <c r="E298" s="65">
        <f t="shared" ref="E298:O298" si="20">SUM(E282:E297)</f>
        <v>2</v>
      </c>
      <c r="F298" s="104">
        <f t="shared" si="20"/>
        <v>2</v>
      </c>
      <c r="G298" s="128">
        <f t="shared" si="20"/>
        <v>1</v>
      </c>
      <c r="H298" s="128">
        <f t="shared" si="20"/>
        <v>1</v>
      </c>
      <c r="I298" s="128">
        <f t="shared" si="20"/>
        <v>1</v>
      </c>
      <c r="J298" s="128">
        <f t="shared" si="20"/>
        <v>1</v>
      </c>
      <c r="K298" s="128">
        <f t="shared" si="20"/>
        <v>1</v>
      </c>
      <c r="L298" s="128">
        <f t="shared" si="20"/>
        <v>1</v>
      </c>
      <c r="M298" s="128">
        <f t="shared" si="20"/>
        <v>2</v>
      </c>
      <c r="N298" s="128">
        <f t="shared" si="20"/>
        <v>2</v>
      </c>
      <c r="O298" s="129">
        <f t="shared" si="20"/>
        <v>2</v>
      </c>
      <c r="P298" s="104">
        <f>MIN(F298:O298)</f>
        <v>1</v>
      </c>
      <c r="Q298" s="128">
        <f>E298-P298</f>
        <v>1</v>
      </c>
      <c r="R298" s="72">
        <f>Q298/E298</f>
        <v>0.5</v>
      </c>
      <c r="S298" s="1"/>
      <c r="T298" s="1"/>
      <c r="U298" s="1"/>
    </row>
    <row r="299" spans="1:21" ht="9.75" customHeight="1" x14ac:dyDescent="0.4">
      <c r="A299" s="1"/>
      <c r="B299" s="1"/>
      <c r="C299" s="15" t="s">
        <v>160</v>
      </c>
      <c r="D299" s="15" t="s">
        <v>300</v>
      </c>
      <c r="E299" s="15"/>
      <c r="F299" s="73"/>
      <c r="G299" s="108"/>
      <c r="H299" s="108"/>
      <c r="I299" s="108"/>
      <c r="J299" s="108"/>
      <c r="K299" s="108"/>
      <c r="L299" s="108"/>
      <c r="M299" s="108"/>
      <c r="N299" s="108"/>
      <c r="O299" s="109"/>
      <c r="P299" s="73"/>
      <c r="Q299" s="108"/>
      <c r="R299" s="188"/>
      <c r="S299" s="1"/>
      <c r="T299" s="1"/>
      <c r="U299" s="1"/>
    </row>
    <row r="300" spans="1:21" ht="9.75" customHeight="1" x14ac:dyDescent="0.4">
      <c r="A300" s="1"/>
      <c r="B300" s="1"/>
      <c r="C300" s="17"/>
      <c r="D300" s="17" t="s">
        <v>301</v>
      </c>
      <c r="E300" s="17"/>
      <c r="F300" s="32"/>
      <c r="G300" s="6"/>
      <c r="H300" s="6"/>
      <c r="I300" s="6"/>
      <c r="J300" s="6"/>
      <c r="K300" s="6"/>
      <c r="L300" s="6"/>
      <c r="M300" s="6"/>
      <c r="N300" s="6"/>
      <c r="O300" s="31"/>
      <c r="P300" s="32"/>
      <c r="Q300" s="6"/>
      <c r="R300" s="59"/>
      <c r="S300" s="1"/>
      <c r="T300" s="1"/>
      <c r="U300" s="1"/>
    </row>
    <row r="301" spans="1:21" ht="9.75" customHeight="1" x14ac:dyDescent="0.4">
      <c r="A301" s="1"/>
      <c r="B301" s="1"/>
      <c r="C301" s="17"/>
      <c r="D301" s="17" t="s">
        <v>303</v>
      </c>
      <c r="E301" s="17"/>
      <c r="F301" s="32"/>
      <c r="G301" s="6"/>
      <c r="H301" s="6"/>
      <c r="I301" s="6"/>
      <c r="J301" s="6"/>
      <c r="K301" s="6"/>
      <c r="L301" s="6"/>
      <c r="M301" s="6"/>
      <c r="N301" s="6"/>
      <c r="O301" s="31"/>
      <c r="P301" s="32"/>
      <c r="Q301" s="6"/>
      <c r="R301" s="59"/>
      <c r="S301" s="1"/>
      <c r="T301" s="1"/>
      <c r="U301" s="1"/>
    </row>
    <row r="302" spans="1:21" ht="9.75" customHeight="1" x14ac:dyDescent="0.4">
      <c r="A302" s="1"/>
      <c r="B302" s="1"/>
      <c r="C302" s="17"/>
      <c r="D302" s="17" t="s">
        <v>369</v>
      </c>
      <c r="E302" s="17"/>
      <c r="F302" s="32"/>
      <c r="G302" s="6"/>
      <c r="H302" s="6"/>
      <c r="I302" s="6"/>
      <c r="J302" s="6"/>
      <c r="K302" s="6"/>
      <c r="L302" s="6"/>
      <c r="M302" s="6"/>
      <c r="N302" s="6"/>
      <c r="O302" s="31"/>
      <c r="P302" s="32"/>
      <c r="Q302" s="6"/>
      <c r="R302" s="59"/>
      <c r="S302" s="1"/>
      <c r="T302" s="1"/>
      <c r="U302" s="1"/>
    </row>
    <row r="303" spans="1:21" ht="9.75" customHeight="1" x14ac:dyDescent="0.4">
      <c r="A303" s="1"/>
      <c r="B303" s="1"/>
      <c r="C303" s="17"/>
      <c r="D303" s="17" t="s">
        <v>369</v>
      </c>
      <c r="E303" s="17"/>
      <c r="F303" s="32"/>
      <c r="G303" s="6"/>
      <c r="H303" s="6"/>
      <c r="I303" s="6"/>
      <c r="J303" s="6"/>
      <c r="K303" s="6"/>
      <c r="L303" s="6"/>
      <c r="M303" s="6"/>
      <c r="N303" s="6"/>
      <c r="O303" s="31"/>
      <c r="P303" s="32"/>
      <c r="Q303" s="6"/>
      <c r="R303" s="59"/>
      <c r="S303" s="1"/>
      <c r="T303" s="1"/>
      <c r="U303" s="1"/>
    </row>
    <row r="304" spans="1:21" ht="9.75" customHeight="1" x14ac:dyDescent="0.4">
      <c r="A304" s="1"/>
      <c r="B304" s="1"/>
      <c r="C304" s="17"/>
      <c r="D304" s="17" t="s">
        <v>308</v>
      </c>
      <c r="E304" s="17"/>
      <c r="F304" s="32"/>
      <c r="G304" s="6"/>
      <c r="H304" s="6"/>
      <c r="I304" s="6"/>
      <c r="J304" s="6"/>
      <c r="K304" s="6"/>
      <c r="L304" s="6"/>
      <c r="M304" s="6"/>
      <c r="N304" s="6"/>
      <c r="O304" s="31"/>
      <c r="P304" s="32"/>
      <c r="Q304" s="6"/>
      <c r="R304" s="59"/>
      <c r="S304" s="1"/>
      <c r="T304" s="1"/>
      <c r="U304" s="1"/>
    </row>
    <row r="305" spans="1:21" ht="9.75" customHeight="1" x14ac:dyDescent="0.4">
      <c r="A305" s="1"/>
      <c r="B305" s="1"/>
      <c r="C305" s="17"/>
      <c r="D305" s="17" t="s">
        <v>374</v>
      </c>
      <c r="E305" s="17"/>
      <c r="F305" s="32"/>
      <c r="G305" s="6"/>
      <c r="H305" s="6"/>
      <c r="I305" s="6"/>
      <c r="J305" s="6"/>
      <c r="K305" s="6"/>
      <c r="L305" s="6"/>
      <c r="M305" s="6"/>
      <c r="N305" s="6"/>
      <c r="O305" s="31"/>
      <c r="P305" s="32"/>
      <c r="Q305" s="6"/>
      <c r="R305" s="59"/>
      <c r="S305" s="1"/>
      <c r="T305" s="1"/>
      <c r="U305" s="1"/>
    </row>
    <row r="306" spans="1:21" ht="9.75" customHeight="1" x14ac:dyDescent="0.4">
      <c r="A306" s="1"/>
      <c r="B306" s="1"/>
      <c r="C306" s="17"/>
      <c r="D306" s="17" t="s">
        <v>374</v>
      </c>
      <c r="E306" s="17"/>
      <c r="F306" s="32"/>
      <c r="G306" s="6"/>
      <c r="H306" s="6"/>
      <c r="I306" s="6"/>
      <c r="J306" s="6"/>
      <c r="K306" s="6"/>
      <c r="L306" s="6"/>
      <c r="M306" s="6"/>
      <c r="N306" s="6"/>
      <c r="O306" s="31"/>
      <c r="P306" s="32"/>
      <c r="Q306" s="6"/>
      <c r="R306" s="59"/>
      <c r="S306" s="1"/>
      <c r="T306" s="1"/>
      <c r="U306" s="1"/>
    </row>
    <row r="307" spans="1:21" ht="9.75" customHeight="1" x14ac:dyDescent="0.4">
      <c r="A307" s="1"/>
      <c r="B307" s="1"/>
      <c r="C307" s="17"/>
      <c r="D307" s="17" t="s">
        <v>374</v>
      </c>
      <c r="E307" s="17"/>
      <c r="F307" s="32"/>
      <c r="G307" s="6"/>
      <c r="H307" s="6"/>
      <c r="I307" s="6"/>
      <c r="J307" s="6"/>
      <c r="K307" s="6"/>
      <c r="L307" s="6"/>
      <c r="M307" s="6"/>
      <c r="N307" s="6"/>
      <c r="O307" s="31"/>
      <c r="P307" s="32"/>
      <c r="Q307" s="6"/>
      <c r="R307" s="59"/>
      <c r="S307" s="1"/>
      <c r="T307" s="1"/>
      <c r="U307" s="1"/>
    </row>
    <row r="308" spans="1:21" ht="9.75" customHeight="1" x14ac:dyDescent="0.4">
      <c r="A308" s="1"/>
      <c r="B308" s="1"/>
      <c r="C308" s="17"/>
      <c r="D308" s="17" t="s">
        <v>374</v>
      </c>
      <c r="E308" s="17"/>
      <c r="F308" s="32"/>
      <c r="G308" s="6"/>
      <c r="H308" s="6"/>
      <c r="I308" s="6"/>
      <c r="J308" s="6"/>
      <c r="K308" s="6"/>
      <c r="L308" s="6"/>
      <c r="M308" s="6"/>
      <c r="N308" s="6"/>
      <c r="O308" s="31"/>
      <c r="P308" s="32"/>
      <c r="Q308" s="6"/>
      <c r="R308" s="59"/>
      <c r="S308" s="1"/>
      <c r="T308" s="1"/>
      <c r="U308" s="1"/>
    </row>
    <row r="309" spans="1:21" ht="9.75" customHeight="1" x14ac:dyDescent="0.4">
      <c r="A309" s="1"/>
      <c r="B309" s="1"/>
      <c r="C309" s="17"/>
      <c r="D309" s="17" t="s">
        <v>374</v>
      </c>
      <c r="E309" s="17"/>
      <c r="F309" s="32"/>
      <c r="G309" s="6"/>
      <c r="H309" s="6"/>
      <c r="I309" s="6"/>
      <c r="J309" s="6"/>
      <c r="K309" s="6"/>
      <c r="L309" s="6"/>
      <c r="M309" s="6"/>
      <c r="N309" s="6"/>
      <c r="O309" s="31"/>
      <c r="P309" s="32"/>
      <c r="Q309" s="6"/>
      <c r="R309" s="59"/>
      <c r="S309" s="1"/>
      <c r="T309" s="1"/>
      <c r="U309" s="1"/>
    </row>
    <row r="310" spans="1:21" ht="9.75" customHeight="1" x14ac:dyDescent="0.4">
      <c r="A310" s="1"/>
      <c r="B310" s="1"/>
      <c r="C310" s="17"/>
      <c r="D310" s="17" t="s">
        <v>374</v>
      </c>
      <c r="E310" s="17"/>
      <c r="F310" s="32"/>
      <c r="G310" s="6"/>
      <c r="H310" s="6"/>
      <c r="I310" s="6"/>
      <c r="J310" s="6"/>
      <c r="K310" s="6"/>
      <c r="L310" s="6"/>
      <c r="M310" s="6"/>
      <c r="N310" s="6"/>
      <c r="O310" s="31"/>
      <c r="P310" s="32"/>
      <c r="Q310" s="6"/>
      <c r="R310" s="59"/>
      <c r="S310" s="1"/>
      <c r="T310" s="1"/>
      <c r="U310" s="1"/>
    </row>
    <row r="311" spans="1:21" ht="9.75" customHeight="1" x14ac:dyDescent="0.4">
      <c r="A311" s="1"/>
      <c r="B311" s="1"/>
      <c r="C311" s="17"/>
      <c r="D311" s="17" t="s">
        <v>310</v>
      </c>
      <c r="E311" s="17"/>
      <c r="F311" s="32"/>
      <c r="G311" s="6"/>
      <c r="H311" s="6"/>
      <c r="I311" s="6"/>
      <c r="J311" s="6"/>
      <c r="K311" s="6"/>
      <c r="L311" s="6"/>
      <c r="M311" s="6"/>
      <c r="N311" s="6"/>
      <c r="O311" s="31"/>
      <c r="P311" s="32"/>
      <c r="Q311" s="6"/>
      <c r="R311" s="59"/>
      <c r="S311" s="1"/>
      <c r="T311" s="1"/>
      <c r="U311" s="1"/>
    </row>
    <row r="312" spans="1:21" ht="9.75" customHeight="1" x14ac:dyDescent="0.4">
      <c r="A312" s="1"/>
      <c r="B312" s="1"/>
      <c r="C312" s="17"/>
      <c r="D312" s="17" t="s">
        <v>311</v>
      </c>
      <c r="E312" s="17"/>
      <c r="F312" s="32"/>
      <c r="G312" s="6"/>
      <c r="H312" s="6"/>
      <c r="I312" s="6"/>
      <c r="J312" s="6"/>
      <c r="K312" s="6"/>
      <c r="L312" s="6"/>
      <c r="M312" s="6"/>
      <c r="N312" s="6"/>
      <c r="O312" s="31"/>
      <c r="P312" s="32"/>
      <c r="Q312" s="6"/>
      <c r="R312" s="59"/>
      <c r="S312" s="1"/>
      <c r="T312" s="1"/>
      <c r="U312" s="1"/>
    </row>
    <row r="313" spans="1:21" ht="9.75" customHeight="1" x14ac:dyDescent="0.4">
      <c r="A313" s="1"/>
      <c r="B313" s="1"/>
      <c r="C313" s="17"/>
      <c r="D313" s="17" t="s">
        <v>312</v>
      </c>
      <c r="E313" s="17">
        <v>4</v>
      </c>
      <c r="F313" s="32">
        <v>2</v>
      </c>
      <c r="G313" s="6">
        <v>1</v>
      </c>
      <c r="H313" s="6">
        <v>0</v>
      </c>
      <c r="I313" s="6">
        <v>1</v>
      </c>
      <c r="J313" s="6">
        <v>2</v>
      </c>
      <c r="K313" s="74">
        <v>2</v>
      </c>
      <c r="L313" s="74">
        <v>0</v>
      </c>
      <c r="M313" s="74">
        <v>0</v>
      </c>
      <c r="N313" s="74">
        <v>0</v>
      </c>
      <c r="O313" s="123">
        <v>0</v>
      </c>
      <c r="P313" s="32">
        <f>MIN(F313:O313)</f>
        <v>0</v>
      </c>
      <c r="Q313" s="6">
        <f>E313-P313</f>
        <v>4</v>
      </c>
      <c r="R313" s="59">
        <f>Q313/E313</f>
        <v>1</v>
      </c>
      <c r="S313" s="1"/>
      <c r="T313" s="1"/>
      <c r="U313" s="1"/>
    </row>
    <row r="314" spans="1:21" ht="9.75" customHeight="1" x14ac:dyDescent="0.4">
      <c r="A314" s="1"/>
      <c r="B314" s="1"/>
      <c r="C314" s="17"/>
      <c r="D314" s="17" t="s">
        <v>313</v>
      </c>
      <c r="E314" s="17"/>
      <c r="F314" s="32"/>
      <c r="G314" s="6"/>
      <c r="H314" s="6"/>
      <c r="I314" s="6"/>
      <c r="J314" s="6"/>
      <c r="K314" s="6"/>
      <c r="L314" s="6"/>
      <c r="M314" s="6"/>
      <c r="N314" s="6"/>
      <c r="O314" s="31"/>
      <c r="P314" s="32"/>
      <c r="Q314" s="6"/>
      <c r="R314" s="59"/>
      <c r="S314" s="1"/>
      <c r="T314" s="1"/>
      <c r="U314" s="1"/>
    </row>
    <row r="315" spans="1:21" ht="9.75" customHeight="1" x14ac:dyDescent="0.4">
      <c r="A315" s="1"/>
      <c r="B315" s="1" t="s">
        <v>395</v>
      </c>
      <c r="C315" s="34"/>
      <c r="D315" s="65" t="s">
        <v>314</v>
      </c>
      <c r="E315" s="65">
        <f t="shared" ref="E315:O315" si="21">SUM(E299:E314)</f>
        <v>4</v>
      </c>
      <c r="F315" s="104">
        <f t="shared" si="21"/>
        <v>2</v>
      </c>
      <c r="G315" s="128">
        <f t="shared" si="21"/>
        <v>1</v>
      </c>
      <c r="H315" s="128">
        <f t="shared" si="21"/>
        <v>0</v>
      </c>
      <c r="I315" s="128">
        <f t="shared" si="21"/>
        <v>1</v>
      </c>
      <c r="J315" s="128">
        <f t="shared" si="21"/>
        <v>2</v>
      </c>
      <c r="K315" s="128">
        <f t="shared" si="21"/>
        <v>2</v>
      </c>
      <c r="L315" s="128">
        <f t="shared" si="21"/>
        <v>0</v>
      </c>
      <c r="M315" s="128">
        <f t="shared" si="21"/>
        <v>0</v>
      </c>
      <c r="N315" s="128">
        <f t="shared" si="21"/>
        <v>0</v>
      </c>
      <c r="O315" s="129">
        <f t="shared" si="21"/>
        <v>0</v>
      </c>
      <c r="P315" s="104">
        <f>MIN(F315:O315)</f>
        <v>0</v>
      </c>
      <c r="Q315" s="128">
        <f>E315-P315</f>
        <v>4</v>
      </c>
      <c r="R315" s="72">
        <f>Q315/E315</f>
        <v>1</v>
      </c>
      <c r="S315" s="1"/>
      <c r="T315" s="1"/>
      <c r="U315" s="1"/>
    </row>
    <row r="316" spans="1:21" ht="9.75" customHeight="1" x14ac:dyDescent="0.4">
      <c r="A316" s="1"/>
      <c r="B316" s="1"/>
      <c r="C316" s="15" t="s">
        <v>174</v>
      </c>
      <c r="D316" s="15" t="s">
        <v>300</v>
      </c>
      <c r="E316" s="17"/>
      <c r="F316" s="32"/>
      <c r="G316" s="6"/>
      <c r="H316" s="6"/>
      <c r="I316" s="6"/>
      <c r="J316" s="6"/>
      <c r="K316" s="6"/>
      <c r="L316" s="6"/>
      <c r="M316" s="6"/>
      <c r="N316" s="6"/>
      <c r="O316" s="31"/>
      <c r="P316" s="32"/>
      <c r="Q316" s="6"/>
      <c r="R316" s="59"/>
      <c r="S316" s="1"/>
      <c r="T316" s="1"/>
      <c r="U316" s="1"/>
    </row>
    <row r="317" spans="1:21" ht="9.75" customHeight="1" x14ac:dyDescent="0.4">
      <c r="A317" s="1"/>
      <c r="B317" s="1"/>
      <c r="C317" s="17"/>
      <c r="D317" s="17" t="s">
        <v>301</v>
      </c>
      <c r="E317" s="17">
        <v>48</v>
      </c>
      <c r="F317" s="32">
        <v>40</v>
      </c>
      <c r="G317" s="6">
        <v>39</v>
      </c>
      <c r="H317" s="6">
        <v>17</v>
      </c>
      <c r="I317" s="6">
        <v>12</v>
      </c>
      <c r="J317" s="6">
        <v>7</v>
      </c>
      <c r="K317" s="6">
        <v>3</v>
      </c>
      <c r="L317" s="6">
        <v>11</v>
      </c>
      <c r="M317" s="6">
        <v>14</v>
      </c>
      <c r="N317" s="6">
        <v>12</v>
      </c>
      <c r="O317" s="31">
        <v>13</v>
      </c>
      <c r="P317" s="32">
        <f>MIN(F317:O317)</f>
        <v>3</v>
      </c>
      <c r="Q317" s="6">
        <f>E317-P317</f>
        <v>45</v>
      </c>
      <c r="R317" s="59">
        <f>Q317/E317</f>
        <v>0.9375</v>
      </c>
      <c r="S317" s="1"/>
      <c r="T317" s="1"/>
      <c r="U317" s="1"/>
    </row>
    <row r="318" spans="1:21" ht="9.75" customHeight="1" x14ac:dyDescent="0.4">
      <c r="A318" s="1"/>
      <c r="B318" s="1"/>
      <c r="C318" s="17"/>
      <c r="D318" s="17" t="s">
        <v>303</v>
      </c>
      <c r="E318" s="17"/>
      <c r="F318" s="32"/>
      <c r="G318" s="6"/>
      <c r="H318" s="6"/>
      <c r="I318" s="6"/>
      <c r="J318" s="6"/>
      <c r="K318" s="6"/>
      <c r="L318" s="6"/>
      <c r="M318" s="6"/>
      <c r="N318" s="6"/>
      <c r="O318" s="31"/>
      <c r="P318" s="32"/>
      <c r="Q318" s="6"/>
      <c r="R318" s="59"/>
      <c r="S318" s="1"/>
      <c r="T318" s="1"/>
      <c r="U318" s="1"/>
    </row>
    <row r="319" spans="1:21" ht="9.75" customHeight="1" x14ac:dyDescent="0.4">
      <c r="A319" s="1"/>
      <c r="B319" s="1"/>
      <c r="C319" s="17"/>
      <c r="D319" s="17" t="s">
        <v>416</v>
      </c>
      <c r="E319" s="17">
        <v>5</v>
      </c>
      <c r="F319" s="32">
        <v>5</v>
      </c>
      <c r="G319" s="6">
        <v>4</v>
      </c>
      <c r="H319" s="6">
        <v>1</v>
      </c>
      <c r="I319" s="6">
        <v>1</v>
      </c>
      <c r="J319" s="6">
        <v>0</v>
      </c>
      <c r="K319" s="6">
        <v>1</v>
      </c>
      <c r="L319" s="6">
        <v>0</v>
      </c>
      <c r="M319" s="6">
        <v>0</v>
      </c>
      <c r="N319" s="6">
        <v>2</v>
      </c>
      <c r="O319" s="31">
        <v>1</v>
      </c>
      <c r="P319" s="32">
        <f>MIN(F319:O319)</f>
        <v>0</v>
      </c>
      <c r="Q319" s="6">
        <f>E319-P319</f>
        <v>5</v>
      </c>
      <c r="R319" s="59">
        <f>Q319/E319</f>
        <v>1</v>
      </c>
      <c r="S319" s="1"/>
      <c r="T319" s="1"/>
      <c r="U319" s="1"/>
    </row>
    <row r="320" spans="1:21" ht="9.75" customHeight="1" x14ac:dyDescent="0.4">
      <c r="A320" s="1"/>
      <c r="B320" s="1"/>
      <c r="C320" s="17"/>
      <c r="D320" s="17" t="s">
        <v>369</v>
      </c>
      <c r="E320" s="17"/>
      <c r="F320" s="32"/>
      <c r="G320" s="6"/>
      <c r="H320" s="6"/>
      <c r="I320" s="6"/>
      <c r="J320" s="6"/>
      <c r="K320" s="6"/>
      <c r="L320" s="6"/>
      <c r="M320" s="6"/>
      <c r="N320" s="6"/>
      <c r="O320" s="31"/>
      <c r="P320" s="32"/>
      <c r="Q320" s="6"/>
      <c r="R320" s="59"/>
      <c r="S320" s="1"/>
      <c r="T320" s="1"/>
      <c r="U320" s="1"/>
    </row>
    <row r="321" spans="1:21" ht="9.75" customHeight="1" x14ac:dyDescent="0.4">
      <c r="A321" s="1"/>
      <c r="B321" s="1"/>
      <c r="C321" s="17"/>
      <c r="D321" s="17" t="s">
        <v>308</v>
      </c>
      <c r="E321" s="17"/>
      <c r="F321" s="32"/>
      <c r="G321" s="6"/>
      <c r="H321" s="6"/>
      <c r="I321" s="6"/>
      <c r="J321" s="6"/>
      <c r="K321" s="6"/>
      <c r="L321" s="6"/>
      <c r="M321" s="6"/>
      <c r="N321" s="6"/>
      <c r="O321" s="31"/>
      <c r="P321" s="32"/>
      <c r="Q321" s="6"/>
      <c r="R321" s="59"/>
      <c r="S321" s="1"/>
      <c r="T321" s="1"/>
      <c r="U321" s="1"/>
    </row>
    <row r="322" spans="1:21" ht="9.75" customHeight="1" x14ac:dyDescent="0.4">
      <c r="A322" s="1"/>
      <c r="B322" s="1"/>
      <c r="C322" s="17"/>
      <c r="D322" s="17" t="s">
        <v>372</v>
      </c>
      <c r="E322" s="17">
        <v>2</v>
      </c>
      <c r="F322" s="32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31">
        <v>0</v>
      </c>
      <c r="P322" s="32">
        <f>MIN(F322:O322)</f>
        <v>0</v>
      </c>
      <c r="Q322" s="6">
        <f>E322-P322</f>
        <v>2</v>
      </c>
      <c r="R322" s="59">
        <f>Q322/E322</f>
        <v>1</v>
      </c>
      <c r="S322" s="1"/>
      <c r="T322" s="1"/>
      <c r="U322" s="1"/>
    </row>
    <row r="323" spans="1:21" ht="9.75" customHeight="1" x14ac:dyDescent="0.4">
      <c r="A323" s="1"/>
      <c r="B323" s="1"/>
      <c r="C323" s="17"/>
      <c r="D323" s="17" t="s">
        <v>417</v>
      </c>
      <c r="E323" s="17"/>
      <c r="F323" s="32"/>
      <c r="G323" s="6"/>
      <c r="H323" s="6"/>
      <c r="I323" s="6"/>
      <c r="J323" s="6"/>
      <c r="K323" s="6"/>
      <c r="L323" s="6"/>
      <c r="M323" s="6"/>
      <c r="N323" s="6"/>
      <c r="O323" s="31"/>
      <c r="P323" s="32"/>
      <c r="Q323" s="6"/>
      <c r="R323" s="59"/>
      <c r="S323" s="1"/>
      <c r="T323" s="1"/>
      <c r="U323" s="1"/>
    </row>
    <row r="324" spans="1:21" ht="9.75" customHeight="1" x14ac:dyDescent="0.4">
      <c r="A324" s="1"/>
      <c r="B324" s="1"/>
      <c r="C324" s="17"/>
      <c r="D324" s="17" t="s">
        <v>377</v>
      </c>
      <c r="E324" s="17"/>
      <c r="F324" s="32"/>
      <c r="G324" s="6"/>
      <c r="H324" s="6"/>
      <c r="I324" s="6"/>
      <c r="J324" s="6"/>
      <c r="K324" s="6"/>
      <c r="L324" s="6"/>
      <c r="M324" s="6"/>
      <c r="N324" s="6"/>
      <c r="O324" s="31"/>
      <c r="P324" s="32"/>
      <c r="Q324" s="6"/>
      <c r="R324" s="59"/>
      <c r="S324" s="1"/>
      <c r="T324" s="1"/>
      <c r="U324" s="1"/>
    </row>
    <row r="325" spans="1:21" ht="9.75" customHeight="1" x14ac:dyDescent="0.4">
      <c r="A325" s="1"/>
      <c r="B325" s="1"/>
      <c r="C325" s="17"/>
      <c r="D325" s="17" t="s">
        <v>377</v>
      </c>
      <c r="E325" s="17"/>
      <c r="F325" s="32"/>
      <c r="G325" s="6"/>
      <c r="H325" s="6"/>
      <c r="I325" s="6"/>
      <c r="J325" s="6"/>
      <c r="K325" s="6"/>
      <c r="L325" s="6"/>
      <c r="M325" s="6"/>
      <c r="N325" s="6"/>
      <c r="O325" s="31"/>
      <c r="P325" s="32"/>
      <c r="Q325" s="6"/>
      <c r="R325" s="59"/>
      <c r="S325" s="1"/>
      <c r="T325" s="1"/>
      <c r="U325" s="1"/>
    </row>
    <row r="326" spans="1:21" ht="9.75" customHeight="1" x14ac:dyDescent="0.4">
      <c r="A326" s="1"/>
      <c r="B326" s="1"/>
      <c r="C326" s="17"/>
      <c r="D326" s="17" t="s">
        <v>374</v>
      </c>
      <c r="E326" s="17"/>
      <c r="F326" s="32"/>
      <c r="G326" s="6"/>
      <c r="H326" s="6"/>
      <c r="I326" s="6"/>
      <c r="J326" s="6"/>
      <c r="K326" s="6"/>
      <c r="L326" s="6"/>
      <c r="M326" s="6"/>
      <c r="N326" s="6"/>
      <c r="O326" s="31"/>
      <c r="P326" s="32"/>
      <c r="Q326" s="6"/>
      <c r="R326" s="59"/>
      <c r="S326" s="1"/>
      <c r="T326" s="1"/>
      <c r="U326" s="1"/>
    </row>
    <row r="327" spans="1:21" ht="9.75" customHeight="1" x14ac:dyDescent="0.4">
      <c r="A327" s="1"/>
      <c r="B327" s="1"/>
      <c r="C327" s="17"/>
      <c r="D327" s="17" t="s">
        <v>374</v>
      </c>
      <c r="E327" s="17"/>
      <c r="F327" s="32"/>
      <c r="G327" s="6"/>
      <c r="H327" s="6"/>
      <c r="I327" s="6"/>
      <c r="J327" s="6"/>
      <c r="K327" s="6"/>
      <c r="L327" s="6"/>
      <c r="M327" s="6"/>
      <c r="N327" s="6"/>
      <c r="O327" s="31"/>
      <c r="P327" s="32"/>
      <c r="Q327" s="6"/>
      <c r="R327" s="59"/>
      <c r="S327" s="1"/>
      <c r="T327" s="1"/>
      <c r="U327" s="1"/>
    </row>
    <row r="328" spans="1:21" ht="9.75" customHeight="1" x14ac:dyDescent="0.4">
      <c r="A328" s="1"/>
      <c r="B328" s="1"/>
      <c r="C328" s="220"/>
      <c r="D328" s="17" t="s">
        <v>310</v>
      </c>
      <c r="E328" s="17">
        <v>6</v>
      </c>
      <c r="F328" s="32">
        <v>3</v>
      </c>
      <c r="G328" s="6">
        <v>2</v>
      </c>
      <c r="H328" s="6">
        <v>0</v>
      </c>
      <c r="I328" s="6">
        <v>1</v>
      </c>
      <c r="J328" s="6">
        <v>1</v>
      </c>
      <c r="K328" s="6">
        <v>0</v>
      </c>
      <c r="L328" s="6">
        <v>0</v>
      </c>
      <c r="M328" s="6">
        <v>0</v>
      </c>
      <c r="N328" s="6">
        <v>2</v>
      </c>
      <c r="O328" s="31">
        <v>1</v>
      </c>
      <c r="P328" s="32">
        <f>MIN(F328:O328)</f>
        <v>0</v>
      </c>
      <c r="Q328" s="6">
        <f>E328-P328</f>
        <v>6</v>
      </c>
      <c r="R328" s="59">
        <f>Q328/E328</f>
        <v>1</v>
      </c>
      <c r="S328" s="1"/>
      <c r="T328" s="1"/>
      <c r="U328" s="1"/>
    </row>
    <row r="329" spans="1:21" ht="9.75" customHeight="1" x14ac:dyDescent="0.4">
      <c r="A329" s="1"/>
      <c r="B329" s="1"/>
      <c r="C329" s="220"/>
      <c r="D329" s="17" t="s">
        <v>311</v>
      </c>
      <c r="E329" s="17"/>
      <c r="F329" s="32"/>
      <c r="G329" s="6"/>
      <c r="H329" s="6"/>
      <c r="I329" s="6"/>
      <c r="J329" s="6"/>
      <c r="K329" s="6"/>
      <c r="L329" s="6"/>
      <c r="M329" s="6"/>
      <c r="N329" s="6"/>
      <c r="O329" s="31"/>
      <c r="P329" s="32"/>
      <c r="Q329" s="6"/>
      <c r="R329" s="59"/>
      <c r="S329" s="1"/>
      <c r="T329" s="1"/>
      <c r="U329" s="1"/>
    </row>
    <row r="330" spans="1:21" ht="9.75" customHeight="1" x14ac:dyDescent="0.4">
      <c r="A330" s="1"/>
      <c r="B330" s="1"/>
      <c r="C330" s="220"/>
      <c r="D330" s="17" t="s">
        <v>312</v>
      </c>
      <c r="E330" s="17"/>
      <c r="F330" s="32"/>
      <c r="G330" s="6"/>
      <c r="H330" s="6"/>
      <c r="I330" s="6"/>
      <c r="J330" s="6"/>
      <c r="K330" s="6"/>
      <c r="L330" s="6"/>
      <c r="M330" s="6"/>
      <c r="N330" s="6"/>
      <c r="O330" s="31"/>
      <c r="P330" s="32"/>
      <c r="Q330" s="6"/>
      <c r="R330" s="59"/>
      <c r="S330" s="1"/>
      <c r="T330" s="1"/>
      <c r="U330" s="1"/>
    </row>
    <row r="331" spans="1:21" ht="9.75" customHeight="1" x14ac:dyDescent="0.4">
      <c r="A331" s="1"/>
      <c r="B331" s="1"/>
      <c r="C331" s="220"/>
      <c r="D331" s="17" t="s">
        <v>313</v>
      </c>
      <c r="E331" s="17"/>
      <c r="F331" s="32"/>
      <c r="G331" s="6"/>
      <c r="H331" s="6"/>
      <c r="I331" s="6"/>
      <c r="J331" s="6"/>
      <c r="K331" s="6"/>
      <c r="L331" s="6"/>
      <c r="M331" s="6"/>
      <c r="N331" s="6"/>
      <c r="O331" s="31"/>
      <c r="P331" s="32"/>
      <c r="Q331" s="6"/>
      <c r="R331" s="59"/>
      <c r="S331" s="1"/>
      <c r="T331" s="1"/>
      <c r="U331" s="1"/>
    </row>
    <row r="332" spans="1:21" ht="9.75" customHeight="1" x14ac:dyDescent="0.4">
      <c r="A332" s="1"/>
      <c r="B332" s="1" t="s">
        <v>395</v>
      </c>
      <c r="C332" s="221"/>
      <c r="D332" s="65" t="s">
        <v>314</v>
      </c>
      <c r="E332" s="65">
        <f t="shared" ref="E332:O332" si="22">SUM(E316:E331)</f>
        <v>61</v>
      </c>
      <c r="F332" s="104">
        <f t="shared" si="22"/>
        <v>48</v>
      </c>
      <c r="G332" s="128">
        <f t="shared" si="22"/>
        <v>45</v>
      </c>
      <c r="H332" s="128">
        <f t="shared" si="22"/>
        <v>18</v>
      </c>
      <c r="I332" s="128">
        <f t="shared" si="22"/>
        <v>14</v>
      </c>
      <c r="J332" s="128">
        <f t="shared" si="22"/>
        <v>8</v>
      </c>
      <c r="K332" s="128">
        <f t="shared" si="22"/>
        <v>4</v>
      </c>
      <c r="L332" s="128">
        <f t="shared" si="22"/>
        <v>11</v>
      </c>
      <c r="M332" s="128">
        <f t="shared" si="22"/>
        <v>14</v>
      </c>
      <c r="N332" s="128">
        <f t="shared" si="22"/>
        <v>16</v>
      </c>
      <c r="O332" s="129">
        <f t="shared" si="22"/>
        <v>15</v>
      </c>
      <c r="P332" s="104">
        <f>MIN(F332:O332)</f>
        <v>4</v>
      </c>
      <c r="Q332" s="128">
        <f>E332-P332</f>
        <v>57</v>
      </c>
      <c r="R332" s="72">
        <f>Q332/E332</f>
        <v>0.93442622950819676</v>
      </c>
      <c r="S332" s="1"/>
      <c r="T332" s="1"/>
      <c r="U332" s="1"/>
    </row>
    <row r="333" spans="1:21" ht="9.75" customHeight="1" x14ac:dyDescent="0.4">
      <c r="A333" s="1"/>
      <c r="B333" s="1"/>
      <c r="C333" s="15" t="s">
        <v>203</v>
      </c>
      <c r="D333" s="15" t="s">
        <v>300</v>
      </c>
      <c r="E333" s="15"/>
      <c r="F333" s="80"/>
      <c r="G333" s="79"/>
      <c r="H333" s="79"/>
      <c r="I333" s="79"/>
      <c r="J333" s="79"/>
      <c r="K333" s="79"/>
      <c r="L333" s="79"/>
      <c r="M333" s="79"/>
      <c r="N333" s="79"/>
      <c r="O333" s="122"/>
      <c r="P333" s="55"/>
      <c r="Q333" s="56"/>
      <c r="R333" s="188"/>
      <c r="S333" s="1"/>
      <c r="T333" s="1"/>
      <c r="U333" s="1"/>
    </row>
    <row r="334" spans="1:21" ht="9.75" customHeight="1" x14ac:dyDescent="0.4">
      <c r="A334" s="1"/>
      <c r="B334" s="1"/>
      <c r="C334" s="220" t="s">
        <v>418</v>
      </c>
      <c r="D334" s="17" t="s">
        <v>301</v>
      </c>
      <c r="E334" s="17">
        <v>331</v>
      </c>
      <c r="F334" s="83">
        <v>24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11</v>
      </c>
      <c r="N334" s="74">
        <v>46</v>
      </c>
      <c r="O334" s="123">
        <v>80</v>
      </c>
      <c r="P334" s="54">
        <f t="shared" ref="P334:P335" si="23">MIN(F334:O334)</f>
        <v>0</v>
      </c>
      <c r="Q334" s="58">
        <f t="shared" ref="Q334:Q335" si="24">E334-P334</f>
        <v>331</v>
      </c>
      <c r="R334" s="59">
        <f t="shared" ref="R334:R335" si="25">Q334/E334</f>
        <v>1</v>
      </c>
      <c r="S334" s="1"/>
      <c r="T334" s="1"/>
      <c r="U334" s="1"/>
    </row>
    <row r="335" spans="1:21" ht="9.75" customHeight="1" x14ac:dyDescent="0.4">
      <c r="A335" s="1"/>
      <c r="B335" s="1"/>
      <c r="C335" s="220"/>
      <c r="D335" s="17" t="s">
        <v>303</v>
      </c>
      <c r="E335" s="17">
        <v>113</v>
      </c>
      <c r="F335" s="83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2</v>
      </c>
      <c r="N335" s="74">
        <v>0</v>
      </c>
      <c r="O335" s="123">
        <v>0</v>
      </c>
      <c r="P335" s="54">
        <f t="shared" si="23"/>
        <v>0</v>
      </c>
      <c r="Q335" s="58">
        <f t="shared" si="24"/>
        <v>113</v>
      </c>
      <c r="R335" s="59">
        <f t="shared" si="25"/>
        <v>1</v>
      </c>
      <c r="S335" s="1"/>
      <c r="T335" s="1"/>
      <c r="U335" s="1"/>
    </row>
    <row r="336" spans="1:21" ht="9.75" customHeight="1" x14ac:dyDescent="0.4">
      <c r="A336" s="1"/>
      <c r="B336" s="1"/>
      <c r="C336" s="220"/>
      <c r="D336" s="17" t="s">
        <v>369</v>
      </c>
      <c r="E336" s="17"/>
      <c r="F336" s="83"/>
      <c r="G336" s="74"/>
      <c r="H336" s="74"/>
      <c r="I336" s="74"/>
      <c r="J336" s="74"/>
      <c r="K336" s="74"/>
      <c r="L336" s="74"/>
      <c r="M336" s="74"/>
      <c r="N336" s="74"/>
      <c r="O336" s="123"/>
      <c r="P336" s="32"/>
      <c r="Q336" s="6"/>
      <c r="R336" s="59"/>
      <c r="S336" s="1"/>
      <c r="T336" s="1"/>
      <c r="U336" s="1"/>
    </row>
    <row r="337" spans="1:21" ht="9.75" customHeight="1" x14ac:dyDescent="0.4">
      <c r="A337" s="1"/>
      <c r="B337" s="1"/>
      <c r="C337" s="220"/>
      <c r="D337" s="17" t="s">
        <v>369</v>
      </c>
      <c r="E337" s="17"/>
      <c r="F337" s="281"/>
      <c r="G337" s="192"/>
      <c r="H337" s="192"/>
      <c r="I337" s="192"/>
      <c r="J337" s="192"/>
      <c r="K337" s="192"/>
      <c r="L337" s="192"/>
      <c r="M337" s="192"/>
      <c r="N337" s="192"/>
      <c r="O337" s="193"/>
      <c r="P337" s="32"/>
      <c r="Q337" s="6"/>
      <c r="R337" s="59"/>
      <c r="S337" s="1"/>
      <c r="T337" s="1"/>
      <c r="U337" s="1"/>
    </row>
    <row r="338" spans="1:21" ht="9.75" customHeight="1" x14ac:dyDescent="0.4">
      <c r="A338" s="1"/>
      <c r="B338" s="1"/>
      <c r="C338" s="220"/>
      <c r="D338" s="17" t="s">
        <v>308</v>
      </c>
      <c r="E338" s="17">
        <v>4</v>
      </c>
      <c r="F338" s="83">
        <v>4</v>
      </c>
      <c r="G338" s="74">
        <v>4</v>
      </c>
      <c r="H338" s="74">
        <v>4</v>
      </c>
      <c r="I338" s="74">
        <v>0</v>
      </c>
      <c r="J338" s="74">
        <v>0</v>
      </c>
      <c r="K338" s="74">
        <v>2</v>
      </c>
      <c r="L338" s="74">
        <v>0</v>
      </c>
      <c r="M338" s="74">
        <v>3</v>
      </c>
      <c r="N338" s="74">
        <v>3</v>
      </c>
      <c r="O338" s="123">
        <v>3</v>
      </c>
      <c r="P338" s="54">
        <f>MIN(F338:O338)</f>
        <v>0</v>
      </c>
      <c r="Q338" s="58">
        <f>E338-P338</f>
        <v>4</v>
      </c>
      <c r="R338" s="59">
        <f>Q338/E338</f>
        <v>1</v>
      </c>
      <c r="S338" s="1"/>
      <c r="T338" s="1"/>
      <c r="U338" s="1"/>
    </row>
    <row r="339" spans="1:21" ht="9.75" customHeight="1" x14ac:dyDescent="0.4">
      <c r="A339" s="1"/>
      <c r="B339" s="1"/>
      <c r="C339" s="220"/>
      <c r="D339" s="17" t="s">
        <v>377</v>
      </c>
      <c r="E339" s="17"/>
      <c r="F339" s="83"/>
      <c r="G339" s="74"/>
      <c r="H339" s="74"/>
      <c r="I339" s="74"/>
      <c r="J339" s="74"/>
      <c r="K339" s="74"/>
      <c r="L339" s="74"/>
      <c r="M339" s="74"/>
      <c r="N339" s="74"/>
      <c r="O339" s="123"/>
      <c r="P339" s="32"/>
      <c r="Q339" s="6"/>
      <c r="R339" s="59"/>
      <c r="S339" s="1"/>
      <c r="T339" s="1"/>
      <c r="U339" s="1"/>
    </row>
    <row r="340" spans="1:21" ht="9.75" customHeight="1" x14ac:dyDescent="0.4">
      <c r="A340" s="1"/>
      <c r="B340" s="1"/>
      <c r="C340" s="220"/>
      <c r="D340" s="17" t="s">
        <v>374</v>
      </c>
      <c r="E340" s="17"/>
      <c r="F340" s="83"/>
      <c r="G340" s="74"/>
      <c r="H340" s="74"/>
      <c r="I340" s="74"/>
      <c r="J340" s="74"/>
      <c r="K340" s="74"/>
      <c r="L340" s="74"/>
      <c r="M340" s="74"/>
      <c r="N340" s="74"/>
      <c r="O340" s="123"/>
      <c r="P340" s="32"/>
      <c r="Q340" s="6"/>
      <c r="R340" s="59"/>
      <c r="S340" s="1"/>
      <c r="T340" s="1"/>
      <c r="U340" s="1"/>
    </row>
    <row r="341" spans="1:21" ht="9.75" customHeight="1" x14ac:dyDescent="0.4">
      <c r="A341" s="1"/>
      <c r="B341" s="1"/>
      <c r="C341" s="220"/>
      <c r="D341" s="17" t="s">
        <v>374</v>
      </c>
      <c r="E341" s="17"/>
      <c r="F341" s="281"/>
      <c r="G341" s="192"/>
      <c r="H341" s="192"/>
      <c r="I341" s="192"/>
      <c r="J341" s="192"/>
      <c r="K341" s="192"/>
      <c r="L341" s="192"/>
      <c r="M341" s="192"/>
      <c r="N341" s="192"/>
      <c r="O341" s="193"/>
      <c r="P341" s="32"/>
      <c r="Q341" s="6"/>
      <c r="R341" s="59"/>
      <c r="S341" s="1"/>
      <c r="T341" s="1"/>
      <c r="U341" s="1"/>
    </row>
    <row r="342" spans="1:21" ht="9.75" customHeight="1" x14ac:dyDescent="0.4">
      <c r="A342" s="1"/>
      <c r="B342" s="1"/>
      <c r="C342" s="220"/>
      <c r="D342" s="17" t="s">
        <v>374</v>
      </c>
      <c r="E342" s="17"/>
      <c r="F342" s="281"/>
      <c r="G342" s="192"/>
      <c r="H342" s="192"/>
      <c r="I342" s="192"/>
      <c r="J342" s="192"/>
      <c r="K342" s="192"/>
      <c r="L342" s="192"/>
      <c r="M342" s="192"/>
      <c r="N342" s="192"/>
      <c r="O342" s="193"/>
      <c r="P342" s="32"/>
      <c r="Q342" s="6"/>
      <c r="R342" s="59"/>
      <c r="S342" s="1"/>
      <c r="T342" s="1"/>
      <c r="U342" s="1"/>
    </row>
    <row r="343" spans="1:21" ht="9.75" customHeight="1" x14ac:dyDescent="0.4">
      <c r="A343" s="1"/>
      <c r="B343" s="1"/>
      <c r="C343" s="220"/>
      <c r="D343" s="17" t="s">
        <v>374</v>
      </c>
      <c r="E343" s="17"/>
      <c r="F343" s="281"/>
      <c r="G343" s="192"/>
      <c r="H343" s="192"/>
      <c r="I343" s="192"/>
      <c r="J343" s="192"/>
      <c r="K343" s="192"/>
      <c r="L343" s="192"/>
      <c r="M343" s="192"/>
      <c r="N343" s="192"/>
      <c r="O343" s="193"/>
      <c r="P343" s="32"/>
      <c r="Q343" s="6"/>
      <c r="R343" s="59"/>
      <c r="S343" s="1"/>
      <c r="T343" s="1"/>
      <c r="U343" s="1"/>
    </row>
    <row r="344" spans="1:21" ht="9.75" customHeight="1" x14ac:dyDescent="0.4">
      <c r="A344" s="1"/>
      <c r="B344" s="1"/>
      <c r="C344" s="220"/>
      <c r="D344" s="17" t="s">
        <v>374</v>
      </c>
      <c r="E344" s="17"/>
      <c r="F344" s="54"/>
      <c r="G344" s="58"/>
      <c r="H344" s="58"/>
      <c r="I344" s="58"/>
      <c r="J344" s="58"/>
      <c r="K344" s="192"/>
      <c r="L344" s="192"/>
      <c r="M344" s="192"/>
      <c r="N344" s="192"/>
      <c r="O344" s="193"/>
      <c r="P344" s="32"/>
      <c r="Q344" s="6"/>
      <c r="R344" s="59"/>
      <c r="S344" s="1"/>
      <c r="T344" s="1"/>
      <c r="U344" s="1"/>
    </row>
    <row r="345" spans="1:21" ht="9.75" customHeight="1" x14ac:dyDescent="0.4">
      <c r="A345" s="1"/>
      <c r="B345" s="1"/>
      <c r="C345" s="220"/>
      <c r="D345" s="17" t="s">
        <v>310</v>
      </c>
      <c r="E345" s="17">
        <v>13</v>
      </c>
      <c r="F345" s="54">
        <v>11</v>
      </c>
      <c r="G345" s="58">
        <v>11</v>
      </c>
      <c r="H345" s="58">
        <v>11</v>
      </c>
      <c r="I345" s="58">
        <v>11</v>
      </c>
      <c r="J345" s="58">
        <v>9</v>
      </c>
      <c r="K345" s="58">
        <v>11</v>
      </c>
      <c r="L345" s="74">
        <v>11</v>
      </c>
      <c r="M345" s="74">
        <v>13</v>
      </c>
      <c r="N345" s="74">
        <v>12</v>
      </c>
      <c r="O345" s="123">
        <v>13</v>
      </c>
      <c r="P345" s="54">
        <f>MIN(F345:O345)</f>
        <v>9</v>
      </c>
      <c r="Q345" s="58">
        <f>E345-P345</f>
        <v>4</v>
      </c>
      <c r="R345" s="59">
        <f>Q345/E345</f>
        <v>0.30769230769230771</v>
      </c>
      <c r="S345" s="1"/>
      <c r="T345" s="1"/>
      <c r="U345" s="1"/>
    </row>
    <row r="346" spans="1:21" ht="9.75" customHeight="1" x14ac:dyDescent="0.4">
      <c r="A346" s="1"/>
      <c r="B346" s="1"/>
      <c r="C346" s="220"/>
      <c r="D346" s="17" t="s">
        <v>311</v>
      </c>
      <c r="E346" s="17"/>
      <c r="F346" s="32"/>
      <c r="G346" s="6"/>
      <c r="H346" s="6"/>
      <c r="I346" s="6"/>
      <c r="J346" s="6"/>
      <c r="K346" s="6"/>
      <c r="L346" s="6"/>
      <c r="M346" s="6"/>
      <c r="N346" s="6"/>
      <c r="O346" s="31"/>
      <c r="P346" s="32"/>
      <c r="Q346" s="6"/>
      <c r="R346" s="59"/>
      <c r="S346" s="1"/>
      <c r="T346" s="1"/>
      <c r="U346" s="1"/>
    </row>
    <row r="347" spans="1:21" ht="9.75" customHeight="1" x14ac:dyDescent="0.4">
      <c r="A347" s="1"/>
      <c r="B347" s="1"/>
      <c r="C347" s="220"/>
      <c r="D347" s="17" t="s">
        <v>312</v>
      </c>
      <c r="E347" s="17"/>
      <c r="F347" s="32"/>
      <c r="G347" s="6"/>
      <c r="H347" s="6"/>
      <c r="I347" s="6"/>
      <c r="J347" s="6"/>
      <c r="K347" s="6"/>
      <c r="L347" s="6"/>
      <c r="M347" s="6"/>
      <c r="N347" s="6"/>
      <c r="O347" s="31"/>
      <c r="P347" s="32"/>
      <c r="Q347" s="6"/>
      <c r="R347" s="59"/>
      <c r="S347" s="1"/>
      <c r="T347" s="1"/>
      <c r="U347" s="1"/>
    </row>
    <row r="348" spans="1:21" ht="9.75" customHeight="1" x14ac:dyDescent="0.4">
      <c r="A348" s="1"/>
      <c r="B348" s="1"/>
      <c r="C348" s="220"/>
      <c r="D348" s="17" t="s">
        <v>313</v>
      </c>
      <c r="E348" s="17"/>
      <c r="F348" s="32"/>
      <c r="G348" s="6"/>
      <c r="H348" s="6"/>
      <c r="I348" s="6"/>
      <c r="J348" s="6"/>
      <c r="K348" s="6"/>
      <c r="L348" s="6"/>
      <c r="M348" s="6"/>
      <c r="N348" s="6"/>
      <c r="O348" s="31"/>
      <c r="P348" s="32"/>
      <c r="Q348" s="6"/>
      <c r="R348" s="59"/>
      <c r="S348" s="1"/>
      <c r="T348" s="1"/>
      <c r="U348" s="1"/>
    </row>
    <row r="349" spans="1:21" ht="9.75" customHeight="1" x14ac:dyDescent="0.4">
      <c r="A349" s="1"/>
      <c r="B349" s="1"/>
      <c r="C349" s="221"/>
      <c r="D349" s="65" t="s">
        <v>314</v>
      </c>
      <c r="E349" s="65">
        <f t="shared" ref="E349:O349" si="26">SUM(E333:E348)</f>
        <v>461</v>
      </c>
      <c r="F349" s="70">
        <f t="shared" si="26"/>
        <v>39</v>
      </c>
      <c r="G349" s="71">
        <f t="shared" si="26"/>
        <v>15</v>
      </c>
      <c r="H349" s="71">
        <f t="shared" si="26"/>
        <v>15</v>
      </c>
      <c r="I349" s="71">
        <f t="shared" si="26"/>
        <v>11</v>
      </c>
      <c r="J349" s="71">
        <f t="shared" si="26"/>
        <v>9</v>
      </c>
      <c r="K349" s="71">
        <f t="shared" si="26"/>
        <v>13</v>
      </c>
      <c r="L349" s="71">
        <f t="shared" si="26"/>
        <v>11</v>
      </c>
      <c r="M349" s="71">
        <f t="shared" si="26"/>
        <v>29</v>
      </c>
      <c r="N349" s="71">
        <f t="shared" si="26"/>
        <v>61</v>
      </c>
      <c r="O349" s="71">
        <f t="shared" si="26"/>
        <v>96</v>
      </c>
      <c r="P349" s="70">
        <f t="shared" ref="P349:P351" si="27">MIN(F349:O349)</f>
        <v>9</v>
      </c>
      <c r="Q349" s="71">
        <f t="shared" ref="Q349:Q351" si="28">E349-P349</f>
        <v>452</v>
      </c>
      <c r="R349" s="72">
        <f t="shared" ref="R349:R351" si="29">Q349/E349</f>
        <v>0.9804772234273319</v>
      </c>
      <c r="S349" s="1"/>
      <c r="T349" s="1"/>
      <c r="U349" s="1"/>
    </row>
    <row r="350" spans="1:21" ht="9.75" customHeight="1" x14ac:dyDescent="0.4">
      <c r="A350" s="1"/>
      <c r="B350" s="1"/>
      <c r="C350" s="15" t="s">
        <v>209</v>
      </c>
      <c r="D350" s="15" t="s">
        <v>300</v>
      </c>
      <c r="E350" s="15">
        <v>292</v>
      </c>
      <c r="F350" s="80">
        <v>141</v>
      </c>
      <c r="G350" s="79">
        <v>84</v>
      </c>
      <c r="H350" s="79">
        <v>0</v>
      </c>
      <c r="I350" s="79">
        <v>0</v>
      </c>
      <c r="J350" s="79">
        <v>0</v>
      </c>
      <c r="K350" s="79">
        <v>2</v>
      </c>
      <c r="L350" s="79">
        <v>0</v>
      </c>
      <c r="M350" s="79">
        <v>7</v>
      </c>
      <c r="N350" s="79">
        <v>40</v>
      </c>
      <c r="O350" s="122">
        <v>64</v>
      </c>
      <c r="P350" s="54">
        <f t="shared" si="27"/>
        <v>0</v>
      </c>
      <c r="Q350" s="58">
        <f t="shared" si="28"/>
        <v>292</v>
      </c>
      <c r="R350" s="59">
        <f t="shared" si="29"/>
        <v>1</v>
      </c>
      <c r="S350" s="1"/>
      <c r="T350" s="1"/>
      <c r="U350" s="1"/>
    </row>
    <row r="351" spans="1:21" ht="9.75" customHeight="1" x14ac:dyDescent="0.4">
      <c r="A351" s="1"/>
      <c r="B351" s="1"/>
      <c r="C351" s="220" t="s">
        <v>419</v>
      </c>
      <c r="D351" s="17" t="s">
        <v>301</v>
      </c>
      <c r="E351" s="17">
        <v>40</v>
      </c>
      <c r="F351" s="83">
        <v>1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11</v>
      </c>
      <c r="N351" s="74">
        <v>46</v>
      </c>
      <c r="O351" s="123">
        <v>80</v>
      </c>
      <c r="P351" s="54">
        <f t="shared" si="27"/>
        <v>0</v>
      </c>
      <c r="Q351" s="58">
        <f t="shared" si="28"/>
        <v>40</v>
      </c>
      <c r="R351" s="59">
        <f t="shared" si="29"/>
        <v>1</v>
      </c>
      <c r="S351" s="1"/>
      <c r="T351" s="1"/>
      <c r="U351" s="1"/>
    </row>
    <row r="352" spans="1:21" ht="9.75" customHeight="1" x14ac:dyDescent="0.4">
      <c r="A352" s="1"/>
      <c r="B352" s="1"/>
      <c r="C352" s="220"/>
      <c r="D352" s="17" t="s">
        <v>303</v>
      </c>
      <c r="E352" s="17"/>
      <c r="F352" s="83"/>
      <c r="G352" s="74"/>
      <c r="H352" s="74"/>
      <c r="I352" s="74"/>
      <c r="J352" s="74"/>
      <c r="K352" s="278"/>
      <c r="L352" s="278"/>
      <c r="M352" s="278"/>
      <c r="N352" s="278"/>
      <c r="O352" s="279"/>
      <c r="P352" s="32"/>
      <c r="Q352" s="6"/>
      <c r="R352" s="59"/>
      <c r="S352" s="1"/>
      <c r="T352" s="1"/>
      <c r="U352" s="1"/>
    </row>
    <row r="353" spans="1:21" ht="9.75" customHeight="1" x14ac:dyDescent="0.4">
      <c r="A353" s="1"/>
      <c r="B353" s="1"/>
      <c r="C353" s="220"/>
      <c r="D353" s="17" t="s">
        <v>369</v>
      </c>
      <c r="E353" s="17"/>
      <c r="F353" s="83"/>
      <c r="G353" s="74"/>
      <c r="H353" s="74"/>
      <c r="I353" s="74"/>
      <c r="J353" s="74"/>
      <c r="K353" s="74"/>
      <c r="L353" s="74"/>
      <c r="M353" s="74"/>
      <c r="N353" s="74"/>
      <c r="O353" s="123"/>
      <c r="P353" s="32"/>
      <c r="Q353" s="6"/>
      <c r="R353" s="59"/>
      <c r="S353" s="1"/>
      <c r="T353" s="1"/>
      <c r="U353" s="1"/>
    </row>
    <row r="354" spans="1:21" ht="9.75" customHeight="1" x14ac:dyDescent="0.4">
      <c r="A354" s="1"/>
      <c r="B354" s="1"/>
      <c r="C354" s="220"/>
      <c r="D354" s="17" t="s">
        <v>369</v>
      </c>
      <c r="E354" s="17"/>
      <c r="F354" s="54"/>
      <c r="G354" s="58"/>
      <c r="H354" s="58"/>
      <c r="I354" s="58"/>
      <c r="J354" s="58"/>
      <c r="K354" s="58"/>
      <c r="L354" s="74"/>
      <c r="M354" s="74"/>
      <c r="N354" s="74"/>
      <c r="O354" s="193"/>
      <c r="P354" s="32"/>
      <c r="Q354" s="6"/>
      <c r="R354" s="59"/>
      <c r="S354" s="1"/>
      <c r="T354" s="1"/>
      <c r="U354" s="1"/>
    </row>
    <row r="355" spans="1:21" ht="9.75" customHeight="1" x14ac:dyDescent="0.4">
      <c r="A355" s="1"/>
      <c r="B355" s="1"/>
      <c r="C355" s="220"/>
      <c r="D355" s="17" t="s">
        <v>308</v>
      </c>
      <c r="E355" s="17">
        <v>7</v>
      </c>
      <c r="F355" s="54">
        <v>7</v>
      </c>
      <c r="G355" s="58">
        <v>7</v>
      </c>
      <c r="H355" s="58">
        <v>7</v>
      </c>
      <c r="I355" s="58">
        <v>4</v>
      </c>
      <c r="J355" s="58">
        <v>2</v>
      </c>
      <c r="K355" s="74">
        <v>2</v>
      </c>
      <c r="L355" s="74">
        <v>4</v>
      </c>
      <c r="M355" s="74">
        <v>3</v>
      </c>
      <c r="N355" s="74">
        <v>3</v>
      </c>
      <c r="O355" s="123">
        <v>0</v>
      </c>
      <c r="P355" s="54">
        <f>MIN(F355:O355)</f>
        <v>0</v>
      </c>
      <c r="Q355" s="58">
        <f>E355-P355</f>
        <v>7</v>
      </c>
      <c r="R355" s="59">
        <f>Q355/E355</f>
        <v>1</v>
      </c>
      <c r="S355" s="1"/>
      <c r="T355" s="1"/>
      <c r="U355" s="1"/>
    </row>
    <row r="356" spans="1:21" ht="9.75" customHeight="1" x14ac:dyDescent="0.4">
      <c r="A356" s="1"/>
      <c r="B356" s="1"/>
      <c r="C356" s="220"/>
      <c r="D356" s="17" t="s">
        <v>377</v>
      </c>
      <c r="E356" s="17"/>
      <c r="F356" s="54"/>
      <c r="G356" s="58"/>
      <c r="H356" s="58"/>
      <c r="I356" s="58"/>
      <c r="J356" s="58"/>
      <c r="K356" s="58"/>
      <c r="L356" s="74"/>
      <c r="M356" s="74"/>
      <c r="N356" s="74"/>
      <c r="O356" s="123"/>
      <c r="P356" s="32"/>
      <c r="Q356" s="6"/>
      <c r="R356" s="59"/>
      <c r="S356" s="1"/>
      <c r="T356" s="1"/>
      <c r="U356" s="1"/>
    </row>
    <row r="357" spans="1:21" ht="9.75" customHeight="1" x14ac:dyDescent="0.4">
      <c r="A357" s="1"/>
      <c r="B357" s="1"/>
      <c r="C357" s="220"/>
      <c r="D357" s="17" t="s">
        <v>377</v>
      </c>
      <c r="E357" s="17"/>
      <c r="F357" s="54"/>
      <c r="G357" s="58"/>
      <c r="H357" s="58"/>
      <c r="I357" s="58"/>
      <c r="J357" s="58"/>
      <c r="K357" s="58"/>
      <c r="L357" s="74"/>
      <c r="M357" s="74"/>
      <c r="N357" s="74"/>
      <c r="O357" s="123"/>
      <c r="P357" s="32"/>
      <c r="Q357" s="6"/>
      <c r="R357" s="59"/>
      <c r="S357" s="1"/>
      <c r="T357" s="1"/>
      <c r="U357" s="1"/>
    </row>
    <row r="358" spans="1:21" ht="9.75" customHeight="1" x14ac:dyDescent="0.4">
      <c r="A358" s="1"/>
      <c r="B358" s="1"/>
      <c r="C358" s="220"/>
      <c r="D358" s="17" t="s">
        <v>374</v>
      </c>
      <c r="E358" s="17"/>
      <c r="F358" s="281"/>
      <c r="G358" s="192"/>
      <c r="H358" s="192"/>
      <c r="I358" s="192"/>
      <c r="J358" s="192"/>
      <c r="K358" s="192"/>
      <c r="L358" s="192"/>
      <c r="M358" s="192"/>
      <c r="N358" s="192"/>
      <c r="O358" s="193"/>
      <c r="P358" s="32"/>
      <c r="Q358" s="6"/>
      <c r="R358" s="59"/>
      <c r="S358" s="1"/>
      <c r="T358" s="1"/>
      <c r="U358" s="1"/>
    </row>
    <row r="359" spans="1:21" ht="9.75" customHeight="1" x14ac:dyDescent="0.4">
      <c r="A359" s="1"/>
      <c r="B359" s="1"/>
      <c r="C359" s="220"/>
      <c r="D359" s="17" t="s">
        <v>374</v>
      </c>
      <c r="E359" s="17"/>
      <c r="F359" s="281"/>
      <c r="G359" s="192"/>
      <c r="H359" s="192"/>
      <c r="I359" s="192"/>
      <c r="J359" s="192"/>
      <c r="K359" s="192"/>
      <c r="L359" s="192"/>
      <c r="M359" s="192"/>
      <c r="N359" s="192"/>
      <c r="O359" s="193"/>
      <c r="P359" s="32"/>
      <c r="Q359" s="6"/>
      <c r="R359" s="59"/>
      <c r="S359" s="1"/>
      <c r="T359" s="1"/>
      <c r="U359" s="1"/>
    </row>
    <row r="360" spans="1:21" ht="9.75" customHeight="1" x14ac:dyDescent="0.4">
      <c r="A360" s="1"/>
      <c r="B360" s="1"/>
      <c r="C360" s="220"/>
      <c r="D360" s="17" t="s">
        <v>374</v>
      </c>
      <c r="E360" s="17"/>
      <c r="F360" s="281"/>
      <c r="G360" s="192"/>
      <c r="H360" s="192"/>
      <c r="I360" s="192"/>
      <c r="J360" s="192"/>
      <c r="K360" s="192"/>
      <c r="L360" s="192"/>
      <c r="M360" s="192"/>
      <c r="N360" s="192"/>
      <c r="O360" s="193"/>
      <c r="P360" s="32"/>
      <c r="Q360" s="6"/>
      <c r="R360" s="59"/>
      <c r="S360" s="1"/>
      <c r="T360" s="1"/>
      <c r="U360" s="1"/>
    </row>
    <row r="361" spans="1:21" ht="9.75" customHeight="1" x14ac:dyDescent="0.4">
      <c r="A361" s="1"/>
      <c r="B361" s="1"/>
      <c r="C361" s="220"/>
      <c r="D361" s="17" t="s">
        <v>374</v>
      </c>
      <c r="E361" s="17"/>
      <c r="F361" s="54"/>
      <c r="G361" s="58"/>
      <c r="H361" s="58"/>
      <c r="I361" s="58"/>
      <c r="J361" s="58"/>
      <c r="K361" s="192"/>
      <c r="L361" s="192"/>
      <c r="M361" s="192"/>
      <c r="N361" s="192"/>
      <c r="O361" s="193"/>
      <c r="P361" s="32"/>
      <c r="Q361" s="6"/>
      <c r="R361" s="59"/>
      <c r="S361" s="1"/>
      <c r="T361" s="1"/>
      <c r="U361" s="1"/>
    </row>
    <row r="362" spans="1:21" ht="9.75" customHeight="1" x14ac:dyDescent="0.4">
      <c r="A362" s="1"/>
      <c r="B362" s="1"/>
      <c r="C362" s="220"/>
      <c r="D362" s="17" t="s">
        <v>310</v>
      </c>
      <c r="E362" s="17">
        <v>17</v>
      </c>
      <c r="F362" s="54">
        <v>16</v>
      </c>
      <c r="G362" s="58">
        <v>14</v>
      </c>
      <c r="H362" s="58">
        <v>14</v>
      </c>
      <c r="I362" s="58">
        <v>14</v>
      </c>
      <c r="J362" s="58">
        <v>14</v>
      </c>
      <c r="K362" s="74">
        <v>17</v>
      </c>
      <c r="L362" s="74">
        <v>14</v>
      </c>
      <c r="M362" s="74">
        <v>15</v>
      </c>
      <c r="N362" s="74">
        <v>13</v>
      </c>
      <c r="O362" s="123">
        <v>14</v>
      </c>
      <c r="P362" s="54">
        <f>MIN(F362:O362)</f>
        <v>13</v>
      </c>
      <c r="Q362" s="58">
        <f>E362-P362</f>
        <v>4</v>
      </c>
      <c r="R362" s="59">
        <f>Q362/E362</f>
        <v>0.23529411764705882</v>
      </c>
      <c r="S362" s="1"/>
      <c r="T362" s="1"/>
      <c r="U362" s="1"/>
    </row>
    <row r="363" spans="1:21" ht="9.75" customHeight="1" x14ac:dyDescent="0.4">
      <c r="A363" s="1"/>
      <c r="B363" s="1"/>
      <c r="C363" s="220"/>
      <c r="D363" s="17" t="s">
        <v>311</v>
      </c>
      <c r="E363" s="17"/>
      <c r="F363" s="32"/>
      <c r="G363" s="6"/>
      <c r="H363" s="6"/>
      <c r="I363" s="6"/>
      <c r="J363" s="6"/>
      <c r="K363" s="6"/>
      <c r="L363" s="6"/>
      <c r="M363" s="6"/>
      <c r="N363" s="6"/>
      <c r="O363" s="31"/>
      <c r="P363" s="32"/>
      <c r="Q363" s="6"/>
      <c r="R363" s="59"/>
      <c r="S363" s="1"/>
      <c r="T363" s="1"/>
      <c r="U363" s="1"/>
    </row>
    <row r="364" spans="1:21" ht="9.75" customHeight="1" x14ac:dyDescent="0.4">
      <c r="A364" s="1"/>
      <c r="B364" s="1"/>
      <c r="C364" s="220"/>
      <c r="D364" s="17" t="s">
        <v>312</v>
      </c>
      <c r="E364" s="17">
        <v>4</v>
      </c>
      <c r="F364" s="32">
        <v>2</v>
      </c>
      <c r="G364" s="6">
        <v>2</v>
      </c>
      <c r="H364" s="6">
        <v>0</v>
      </c>
      <c r="I364" s="6">
        <v>1</v>
      </c>
      <c r="J364" s="6">
        <v>0</v>
      </c>
      <c r="K364" s="6">
        <v>0</v>
      </c>
      <c r="L364" s="6">
        <v>2</v>
      </c>
      <c r="M364" s="6">
        <v>1</v>
      </c>
      <c r="N364" s="6">
        <v>1</v>
      </c>
      <c r="O364" s="31">
        <v>1</v>
      </c>
      <c r="P364" s="32">
        <f>MIN(F364:O364)</f>
        <v>0</v>
      </c>
      <c r="Q364" s="6">
        <f>E364-P364</f>
        <v>4</v>
      </c>
      <c r="R364" s="59">
        <f>Q364/E364</f>
        <v>1</v>
      </c>
      <c r="S364" s="1"/>
      <c r="T364" s="1"/>
      <c r="U364" s="1"/>
    </row>
    <row r="365" spans="1:21" ht="9.75" customHeight="1" x14ac:dyDescent="0.4">
      <c r="A365" s="1"/>
      <c r="B365" s="1"/>
      <c r="C365" s="220"/>
      <c r="D365" s="17" t="s">
        <v>313</v>
      </c>
      <c r="E365" s="17"/>
      <c r="F365" s="32"/>
      <c r="G365" s="6"/>
      <c r="H365" s="6"/>
      <c r="I365" s="6"/>
      <c r="J365" s="6"/>
      <c r="K365" s="6"/>
      <c r="L365" s="6"/>
      <c r="M365" s="6"/>
      <c r="N365" s="6"/>
      <c r="O365" s="31"/>
      <c r="P365" s="32"/>
      <c r="Q365" s="6"/>
      <c r="R365" s="59"/>
      <c r="S365" s="1"/>
      <c r="T365" s="1"/>
      <c r="U365" s="1"/>
    </row>
    <row r="366" spans="1:21" ht="9.75" customHeight="1" x14ac:dyDescent="0.4">
      <c r="A366" s="1"/>
      <c r="B366" s="1"/>
      <c r="C366" s="221"/>
      <c r="D366" s="65" t="s">
        <v>314</v>
      </c>
      <c r="E366" s="65">
        <f t="shared" ref="E366:O366" si="30">SUM(E350:E365)</f>
        <v>360</v>
      </c>
      <c r="F366" s="70">
        <f t="shared" si="30"/>
        <v>167</v>
      </c>
      <c r="G366" s="71">
        <f t="shared" si="30"/>
        <v>107</v>
      </c>
      <c r="H366" s="71">
        <f t="shared" si="30"/>
        <v>21</v>
      </c>
      <c r="I366" s="71">
        <f t="shared" si="30"/>
        <v>19</v>
      </c>
      <c r="J366" s="71">
        <f t="shared" si="30"/>
        <v>16</v>
      </c>
      <c r="K366" s="71">
        <f t="shared" si="30"/>
        <v>21</v>
      </c>
      <c r="L366" s="71">
        <f t="shared" si="30"/>
        <v>20</v>
      </c>
      <c r="M366" s="71">
        <f t="shared" si="30"/>
        <v>37</v>
      </c>
      <c r="N366" s="71">
        <f t="shared" si="30"/>
        <v>103</v>
      </c>
      <c r="O366" s="71">
        <f t="shared" si="30"/>
        <v>159</v>
      </c>
      <c r="P366" s="70">
        <f>MIN(F366:O366)</f>
        <v>16</v>
      </c>
      <c r="Q366" s="71">
        <f>E366-P366</f>
        <v>344</v>
      </c>
      <c r="R366" s="72">
        <f>Q366/E366</f>
        <v>0.9555555555555556</v>
      </c>
      <c r="S366" s="1"/>
      <c r="T366" s="1"/>
      <c r="U366" s="1"/>
    </row>
    <row r="367" spans="1:21" ht="9.75" customHeight="1" x14ac:dyDescent="0.4">
      <c r="A367" s="1"/>
      <c r="B367" s="1"/>
      <c r="C367" s="15" t="s">
        <v>214</v>
      </c>
      <c r="D367" s="15" t="s">
        <v>300</v>
      </c>
      <c r="E367" s="15"/>
      <c r="F367" s="80"/>
      <c r="G367" s="79"/>
      <c r="H367" s="79"/>
      <c r="I367" s="79"/>
      <c r="J367" s="79"/>
      <c r="K367" s="79"/>
      <c r="L367" s="79"/>
      <c r="M367" s="79"/>
      <c r="N367" s="79"/>
      <c r="O367" s="122"/>
      <c r="P367" s="55"/>
      <c r="Q367" s="56"/>
      <c r="R367" s="188"/>
      <c r="S367" s="1"/>
      <c r="T367" s="1"/>
      <c r="U367" s="1"/>
    </row>
    <row r="368" spans="1:21" ht="9.75" customHeight="1" x14ac:dyDescent="0.4">
      <c r="A368" s="1"/>
      <c r="B368" s="1"/>
      <c r="C368" s="220" t="s">
        <v>420</v>
      </c>
      <c r="D368" s="17" t="s">
        <v>301</v>
      </c>
      <c r="E368" s="17"/>
      <c r="F368" s="83"/>
      <c r="G368" s="74"/>
      <c r="H368" s="74"/>
      <c r="I368" s="74"/>
      <c r="J368" s="74"/>
      <c r="K368" s="74"/>
      <c r="L368" s="74"/>
      <c r="M368" s="74"/>
      <c r="N368" s="74"/>
      <c r="O368" s="123"/>
      <c r="P368" s="54"/>
      <c r="Q368" s="58"/>
      <c r="R368" s="59"/>
      <c r="S368" s="1"/>
      <c r="T368" s="1"/>
      <c r="U368" s="1"/>
    </row>
    <row r="369" spans="1:21" ht="9.75" customHeight="1" x14ac:dyDescent="0.4">
      <c r="A369" s="1"/>
      <c r="B369" s="1"/>
      <c r="C369" s="220"/>
      <c r="D369" s="17" t="s">
        <v>303</v>
      </c>
      <c r="E369" s="17"/>
      <c r="F369" s="83"/>
      <c r="G369" s="74"/>
      <c r="H369" s="74"/>
      <c r="I369" s="74"/>
      <c r="J369" s="74"/>
      <c r="K369" s="278"/>
      <c r="L369" s="278"/>
      <c r="M369" s="278"/>
      <c r="N369" s="278"/>
      <c r="O369" s="279"/>
      <c r="P369" s="32"/>
      <c r="Q369" s="6"/>
      <c r="R369" s="59"/>
      <c r="S369" s="1"/>
      <c r="T369" s="1"/>
      <c r="U369" s="1"/>
    </row>
    <row r="370" spans="1:21" ht="9.75" customHeight="1" x14ac:dyDescent="0.4">
      <c r="A370" s="1"/>
      <c r="B370" s="1"/>
      <c r="C370" s="220"/>
      <c r="D370" s="17" t="s">
        <v>369</v>
      </c>
      <c r="E370" s="17">
        <v>147</v>
      </c>
      <c r="F370" s="83">
        <v>35</v>
      </c>
      <c r="G370" s="74">
        <v>2</v>
      </c>
      <c r="H370" s="74">
        <v>0</v>
      </c>
      <c r="I370" s="74">
        <v>0</v>
      </c>
      <c r="J370" s="74">
        <v>0</v>
      </c>
      <c r="K370" s="74">
        <v>1</v>
      </c>
      <c r="L370" s="74">
        <v>2</v>
      </c>
      <c r="M370" s="74">
        <v>0</v>
      </c>
      <c r="N370" s="74">
        <v>1</v>
      </c>
      <c r="O370" s="123">
        <v>5</v>
      </c>
      <c r="P370" s="54">
        <f>MIN(F370:O370)</f>
        <v>0</v>
      </c>
      <c r="Q370" s="58">
        <f>E370-P370</f>
        <v>147</v>
      </c>
      <c r="R370" s="59">
        <f>Q370/E370</f>
        <v>1</v>
      </c>
      <c r="S370" s="1"/>
      <c r="T370" s="1"/>
      <c r="U370" s="1"/>
    </row>
    <row r="371" spans="1:21" ht="9.75" customHeight="1" x14ac:dyDescent="0.4">
      <c r="A371" s="1"/>
      <c r="B371" s="1"/>
      <c r="C371" s="220"/>
      <c r="D371" s="17" t="s">
        <v>369</v>
      </c>
      <c r="E371" s="17"/>
      <c r="F371" s="281"/>
      <c r="G371" s="192"/>
      <c r="H371" s="192"/>
      <c r="I371" s="192"/>
      <c r="J371" s="192"/>
      <c r="K371" s="192"/>
      <c r="L371" s="192"/>
      <c r="M371" s="192"/>
      <c r="N371" s="192"/>
      <c r="O371" s="193"/>
      <c r="P371" s="32"/>
      <c r="Q371" s="6"/>
      <c r="R371" s="59"/>
      <c r="S371" s="1"/>
      <c r="T371" s="1"/>
      <c r="U371" s="1"/>
    </row>
    <row r="372" spans="1:21" ht="9.75" customHeight="1" x14ac:dyDescent="0.4">
      <c r="A372" s="1"/>
      <c r="B372" s="1"/>
      <c r="C372" s="220"/>
      <c r="D372" s="17" t="s">
        <v>308</v>
      </c>
      <c r="E372" s="17">
        <v>20</v>
      </c>
      <c r="F372" s="83">
        <v>13</v>
      </c>
      <c r="G372" s="74">
        <v>13</v>
      </c>
      <c r="H372" s="74">
        <v>13</v>
      </c>
      <c r="I372" s="74">
        <v>6</v>
      </c>
      <c r="J372" s="74">
        <v>4</v>
      </c>
      <c r="K372" s="74">
        <v>4</v>
      </c>
      <c r="L372" s="74">
        <v>10</v>
      </c>
      <c r="M372" s="74">
        <v>10</v>
      </c>
      <c r="N372" s="74">
        <v>11</v>
      </c>
      <c r="O372" s="123">
        <v>12</v>
      </c>
      <c r="P372" s="54">
        <f t="shared" ref="P372:P373" si="31">MIN(F372:O372)</f>
        <v>4</v>
      </c>
      <c r="Q372" s="58">
        <f t="shared" ref="Q372:Q373" si="32">E372-P372</f>
        <v>16</v>
      </c>
      <c r="R372" s="59">
        <f t="shared" ref="R372:R373" si="33">Q372/E372</f>
        <v>0.8</v>
      </c>
      <c r="S372" s="1"/>
      <c r="T372" s="1"/>
      <c r="U372" s="1"/>
    </row>
    <row r="373" spans="1:21" ht="9.75" customHeight="1" x14ac:dyDescent="0.4">
      <c r="A373" s="1"/>
      <c r="B373" s="1"/>
      <c r="C373" s="220"/>
      <c r="D373" s="17" t="s">
        <v>372</v>
      </c>
      <c r="E373" s="17">
        <f>20</f>
        <v>20</v>
      </c>
      <c r="F373" s="83">
        <v>10</v>
      </c>
      <c r="G373" s="74">
        <v>10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4</v>
      </c>
      <c r="N373" s="74">
        <v>2</v>
      </c>
      <c r="O373" s="123">
        <v>4</v>
      </c>
      <c r="P373" s="54">
        <f t="shared" si="31"/>
        <v>0</v>
      </c>
      <c r="Q373" s="58">
        <f t="shared" si="32"/>
        <v>20</v>
      </c>
      <c r="R373" s="59">
        <f t="shared" si="33"/>
        <v>1</v>
      </c>
      <c r="S373" s="1"/>
      <c r="T373" s="1"/>
      <c r="U373" s="1"/>
    </row>
    <row r="374" spans="1:21" ht="9.75" customHeight="1" x14ac:dyDescent="0.4">
      <c r="A374" s="1"/>
      <c r="B374" s="1"/>
      <c r="C374" s="220"/>
      <c r="D374" s="17" t="s">
        <v>377</v>
      </c>
      <c r="E374" s="17"/>
      <c r="F374" s="83"/>
      <c r="G374" s="74"/>
      <c r="H374" s="74"/>
      <c r="I374" s="74"/>
      <c r="J374" s="74"/>
      <c r="K374" s="74"/>
      <c r="L374" s="74"/>
      <c r="M374" s="74"/>
      <c r="N374" s="74"/>
      <c r="O374" s="123"/>
      <c r="P374" s="32"/>
      <c r="Q374" s="6"/>
      <c r="R374" s="59"/>
      <c r="S374" s="1"/>
      <c r="T374" s="1"/>
      <c r="U374" s="1"/>
    </row>
    <row r="375" spans="1:21" ht="9.75" customHeight="1" x14ac:dyDescent="0.4">
      <c r="A375" s="1"/>
      <c r="B375" s="1"/>
      <c r="C375" s="220"/>
      <c r="D375" s="17" t="s">
        <v>374</v>
      </c>
      <c r="E375" s="17"/>
      <c r="F375" s="281"/>
      <c r="G375" s="192"/>
      <c r="H375" s="192"/>
      <c r="I375" s="192"/>
      <c r="J375" s="192"/>
      <c r="K375" s="192"/>
      <c r="L375" s="192"/>
      <c r="M375" s="192"/>
      <c r="N375" s="192"/>
      <c r="O375" s="193"/>
      <c r="P375" s="32"/>
      <c r="Q375" s="6"/>
      <c r="R375" s="59"/>
      <c r="S375" s="1"/>
      <c r="T375" s="1"/>
      <c r="U375" s="1"/>
    </row>
    <row r="376" spans="1:21" ht="9.75" customHeight="1" x14ac:dyDescent="0.4">
      <c r="A376" s="1"/>
      <c r="B376" s="1"/>
      <c r="C376" s="220"/>
      <c r="D376" s="17" t="s">
        <v>374</v>
      </c>
      <c r="E376" s="17"/>
      <c r="F376" s="281"/>
      <c r="G376" s="192"/>
      <c r="H376" s="192"/>
      <c r="I376" s="192"/>
      <c r="J376" s="192"/>
      <c r="K376" s="192"/>
      <c r="L376" s="192"/>
      <c r="M376" s="192"/>
      <c r="N376" s="192"/>
      <c r="O376" s="193"/>
      <c r="P376" s="32"/>
      <c r="Q376" s="6"/>
      <c r="R376" s="59"/>
      <c r="S376" s="1"/>
      <c r="T376" s="1"/>
      <c r="U376" s="1"/>
    </row>
    <row r="377" spans="1:21" ht="9.75" customHeight="1" x14ac:dyDescent="0.4">
      <c r="A377" s="1"/>
      <c r="B377" s="1"/>
      <c r="C377" s="220"/>
      <c r="D377" s="17" t="s">
        <v>374</v>
      </c>
      <c r="E377" s="17"/>
      <c r="F377" s="281"/>
      <c r="G377" s="192"/>
      <c r="H377" s="192"/>
      <c r="I377" s="192"/>
      <c r="J377" s="192"/>
      <c r="K377" s="192"/>
      <c r="L377" s="192"/>
      <c r="M377" s="192"/>
      <c r="N377" s="192"/>
      <c r="O377" s="193"/>
      <c r="P377" s="32"/>
      <c r="Q377" s="6"/>
      <c r="R377" s="59"/>
      <c r="S377" s="1"/>
      <c r="T377" s="1"/>
      <c r="U377" s="1"/>
    </row>
    <row r="378" spans="1:21" ht="9.75" customHeight="1" x14ac:dyDescent="0.4">
      <c r="A378" s="1"/>
      <c r="B378" s="1"/>
      <c r="C378" s="220"/>
      <c r="D378" s="17" t="s">
        <v>374</v>
      </c>
      <c r="E378" s="17"/>
      <c r="F378" s="54"/>
      <c r="G378" s="58"/>
      <c r="H378" s="58"/>
      <c r="I378" s="58"/>
      <c r="J378" s="58"/>
      <c r="K378" s="192"/>
      <c r="L378" s="192"/>
      <c r="M378" s="192"/>
      <c r="N378" s="192"/>
      <c r="O378" s="193"/>
      <c r="P378" s="32"/>
      <c r="Q378" s="6"/>
      <c r="R378" s="59"/>
      <c r="S378" s="1"/>
      <c r="T378" s="1"/>
      <c r="U378" s="1"/>
    </row>
    <row r="379" spans="1:21" ht="9.75" customHeight="1" x14ac:dyDescent="0.4">
      <c r="A379" s="1"/>
      <c r="B379" s="1"/>
      <c r="C379" s="220"/>
      <c r="D379" s="17" t="s">
        <v>310</v>
      </c>
      <c r="E379" s="17">
        <f>33+2</f>
        <v>35</v>
      </c>
      <c r="F379" s="83">
        <v>17</v>
      </c>
      <c r="G379" s="74">
        <v>16</v>
      </c>
      <c r="H379" s="74">
        <v>14</v>
      </c>
      <c r="I379" s="74">
        <v>13</v>
      </c>
      <c r="J379" s="74">
        <v>13</v>
      </c>
      <c r="K379" s="74">
        <v>9</v>
      </c>
      <c r="L379" s="74">
        <v>6</v>
      </c>
      <c r="M379" s="74">
        <v>5</v>
      </c>
      <c r="N379" s="74">
        <v>9</v>
      </c>
      <c r="O379" s="123">
        <v>13</v>
      </c>
      <c r="P379" s="54">
        <f>MIN(F379:O379)</f>
        <v>5</v>
      </c>
      <c r="Q379" s="58">
        <f>E379-P379</f>
        <v>30</v>
      </c>
      <c r="R379" s="59">
        <f>Q379/E379</f>
        <v>0.8571428571428571</v>
      </c>
      <c r="S379" s="1"/>
      <c r="T379" s="1"/>
      <c r="U379" s="1"/>
    </row>
    <row r="380" spans="1:21" ht="9.75" customHeight="1" x14ac:dyDescent="0.4">
      <c r="A380" s="1"/>
      <c r="B380" s="1"/>
      <c r="C380" s="220"/>
      <c r="D380" s="17" t="s">
        <v>311</v>
      </c>
      <c r="E380" s="17"/>
      <c r="F380" s="32"/>
      <c r="G380" s="6"/>
      <c r="H380" s="6"/>
      <c r="I380" s="6"/>
      <c r="J380" s="6"/>
      <c r="K380" s="6"/>
      <c r="L380" s="6"/>
      <c r="M380" s="6"/>
      <c r="N380" s="6"/>
      <c r="O380" s="31"/>
      <c r="P380" s="32"/>
      <c r="Q380" s="6"/>
      <c r="R380" s="59"/>
      <c r="S380" s="1"/>
      <c r="T380" s="1"/>
      <c r="U380" s="1"/>
    </row>
    <row r="381" spans="1:21" ht="9.75" customHeight="1" x14ac:dyDescent="0.4">
      <c r="A381" s="1"/>
      <c r="B381" s="1"/>
      <c r="C381" s="220"/>
      <c r="D381" s="17" t="s">
        <v>312</v>
      </c>
      <c r="E381" s="17"/>
      <c r="F381" s="32"/>
      <c r="G381" s="6"/>
      <c r="H381" s="6"/>
      <c r="I381" s="6"/>
      <c r="J381" s="6"/>
      <c r="K381" s="6"/>
      <c r="L381" s="6"/>
      <c r="M381" s="6"/>
      <c r="N381" s="6"/>
      <c r="O381" s="31"/>
      <c r="P381" s="32"/>
      <c r="Q381" s="6"/>
      <c r="R381" s="59"/>
      <c r="S381" s="1"/>
      <c r="T381" s="1"/>
      <c r="U381" s="1"/>
    </row>
    <row r="382" spans="1:21" ht="9.75" customHeight="1" x14ac:dyDescent="0.4">
      <c r="A382" s="1"/>
      <c r="B382" s="1"/>
      <c r="C382" s="220"/>
      <c r="D382" s="17" t="s">
        <v>313</v>
      </c>
      <c r="E382" s="17"/>
      <c r="F382" s="32"/>
      <c r="G382" s="6"/>
      <c r="H382" s="6"/>
      <c r="I382" s="6"/>
      <c r="J382" s="6"/>
      <c r="K382" s="6"/>
      <c r="L382" s="6"/>
      <c r="M382" s="6"/>
      <c r="N382" s="6"/>
      <c r="O382" s="31"/>
      <c r="P382" s="32"/>
      <c r="Q382" s="6"/>
      <c r="R382" s="59"/>
      <c r="S382" s="1"/>
      <c r="T382" s="1"/>
      <c r="U382" s="1"/>
    </row>
    <row r="383" spans="1:21" ht="9.75" customHeight="1" x14ac:dyDescent="0.4">
      <c r="A383" s="1"/>
      <c r="B383" s="1"/>
      <c r="C383" s="221"/>
      <c r="D383" s="65" t="s">
        <v>314</v>
      </c>
      <c r="E383" s="65">
        <f t="shared" ref="E383:O383" si="34">SUM(E367:E382)</f>
        <v>222</v>
      </c>
      <c r="F383" s="70">
        <f t="shared" si="34"/>
        <v>75</v>
      </c>
      <c r="G383" s="71">
        <f t="shared" si="34"/>
        <v>41</v>
      </c>
      <c r="H383" s="71">
        <f t="shared" si="34"/>
        <v>27</v>
      </c>
      <c r="I383" s="71">
        <f t="shared" si="34"/>
        <v>19</v>
      </c>
      <c r="J383" s="71">
        <f t="shared" si="34"/>
        <v>17</v>
      </c>
      <c r="K383" s="71">
        <f t="shared" si="34"/>
        <v>14</v>
      </c>
      <c r="L383" s="71">
        <f t="shared" si="34"/>
        <v>18</v>
      </c>
      <c r="M383" s="71">
        <f t="shared" si="34"/>
        <v>19</v>
      </c>
      <c r="N383" s="71">
        <f t="shared" si="34"/>
        <v>23</v>
      </c>
      <c r="O383" s="71">
        <f t="shared" si="34"/>
        <v>34</v>
      </c>
      <c r="P383" s="70">
        <f t="shared" ref="P383:P385" si="35">MIN(F383:O383)</f>
        <v>14</v>
      </c>
      <c r="Q383" s="71">
        <f t="shared" ref="Q383:Q385" si="36">E383-P383</f>
        <v>208</v>
      </c>
      <c r="R383" s="72">
        <f t="shared" ref="R383:R385" si="37">Q383/E383</f>
        <v>0.93693693693693691</v>
      </c>
      <c r="S383" s="1"/>
      <c r="T383" s="1"/>
      <c r="U383" s="1"/>
    </row>
    <row r="384" spans="1:21" ht="9.75" customHeight="1" x14ac:dyDescent="0.4">
      <c r="A384" s="1"/>
      <c r="B384" s="1"/>
      <c r="C384" s="191" t="s">
        <v>53</v>
      </c>
      <c r="D384" s="15" t="s">
        <v>300</v>
      </c>
      <c r="E384" s="15">
        <v>35</v>
      </c>
      <c r="F384" s="80">
        <f>E384-7</f>
        <v>28</v>
      </c>
      <c r="G384" s="79">
        <v>0</v>
      </c>
      <c r="H384" s="79">
        <v>2</v>
      </c>
      <c r="I384" s="79">
        <v>0</v>
      </c>
      <c r="J384" s="79">
        <v>0</v>
      </c>
      <c r="K384" s="79">
        <v>3</v>
      </c>
      <c r="L384" s="79">
        <v>5</v>
      </c>
      <c r="M384" s="79">
        <v>3</v>
      </c>
      <c r="N384" s="79">
        <f>E384-15</f>
        <v>20</v>
      </c>
      <c r="O384" s="122">
        <f>E384-6</f>
        <v>29</v>
      </c>
      <c r="P384" s="55">
        <f t="shared" si="35"/>
        <v>0</v>
      </c>
      <c r="Q384" s="56">
        <f t="shared" si="36"/>
        <v>35</v>
      </c>
      <c r="R384" s="188">
        <f t="shared" si="37"/>
        <v>1</v>
      </c>
      <c r="S384" s="1"/>
      <c r="T384" s="1"/>
      <c r="U384" s="1"/>
    </row>
    <row r="385" spans="1:21" ht="9.75" customHeight="1" x14ac:dyDescent="0.4">
      <c r="A385" s="1"/>
      <c r="B385" s="1"/>
      <c r="C385" s="220"/>
      <c r="D385" s="17" t="s">
        <v>301</v>
      </c>
      <c r="E385" s="17">
        <v>69</v>
      </c>
      <c r="F385" s="83">
        <v>3</v>
      </c>
      <c r="G385" s="74">
        <v>0</v>
      </c>
      <c r="H385" s="74">
        <v>0</v>
      </c>
      <c r="I385" s="74">
        <v>0</v>
      </c>
      <c r="J385" s="74">
        <v>0</v>
      </c>
      <c r="K385" s="74">
        <v>5</v>
      </c>
      <c r="L385" s="74">
        <v>1</v>
      </c>
      <c r="M385" s="74">
        <v>4</v>
      </c>
      <c r="N385" s="74">
        <v>10</v>
      </c>
      <c r="O385" s="123">
        <v>17</v>
      </c>
      <c r="P385" s="54">
        <f t="shared" si="35"/>
        <v>0</v>
      </c>
      <c r="Q385" s="58">
        <f t="shared" si="36"/>
        <v>69</v>
      </c>
      <c r="R385" s="59">
        <f t="shared" si="37"/>
        <v>1</v>
      </c>
      <c r="S385" s="1"/>
      <c r="T385" s="1"/>
      <c r="U385" s="1"/>
    </row>
    <row r="386" spans="1:21" ht="9.75" customHeight="1" x14ac:dyDescent="0.4">
      <c r="A386" s="1"/>
      <c r="B386" s="1"/>
      <c r="C386" s="220"/>
      <c r="D386" s="17" t="s">
        <v>303</v>
      </c>
      <c r="E386" s="17"/>
      <c r="F386" s="83"/>
      <c r="G386" s="74"/>
      <c r="H386" s="74"/>
      <c r="I386" s="74"/>
      <c r="J386" s="74"/>
      <c r="K386" s="278"/>
      <c r="L386" s="278"/>
      <c r="M386" s="278"/>
      <c r="N386" s="278"/>
      <c r="O386" s="279"/>
      <c r="P386" s="32"/>
      <c r="Q386" s="6"/>
      <c r="R386" s="59"/>
      <c r="S386" s="1"/>
      <c r="T386" s="1"/>
      <c r="U386" s="1"/>
    </row>
    <row r="387" spans="1:21" ht="9.75" customHeight="1" x14ac:dyDescent="0.4">
      <c r="A387" s="1"/>
      <c r="B387" s="1"/>
      <c r="C387" s="220"/>
      <c r="D387" s="17" t="s">
        <v>369</v>
      </c>
      <c r="E387" s="17">
        <v>6</v>
      </c>
      <c r="F387" s="83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1</v>
      </c>
      <c r="N387" s="74">
        <v>3</v>
      </c>
      <c r="O387" s="123">
        <v>4</v>
      </c>
      <c r="P387" s="54">
        <f>MIN(F387:O387)</f>
        <v>0</v>
      </c>
      <c r="Q387" s="58">
        <f>E387-P387</f>
        <v>6</v>
      </c>
      <c r="R387" s="59">
        <f>Q387/E387</f>
        <v>1</v>
      </c>
      <c r="S387" s="1"/>
      <c r="T387" s="1"/>
      <c r="U387" s="1"/>
    </row>
    <row r="388" spans="1:21" ht="9.75" customHeight="1" x14ac:dyDescent="0.4">
      <c r="A388" s="1"/>
      <c r="B388" s="1"/>
      <c r="C388" s="220"/>
      <c r="D388" s="17" t="s">
        <v>369</v>
      </c>
      <c r="E388" s="17"/>
      <c r="F388" s="281"/>
      <c r="G388" s="192"/>
      <c r="H388" s="192"/>
      <c r="I388" s="192"/>
      <c r="J388" s="192"/>
      <c r="K388" s="192"/>
      <c r="L388" s="192"/>
      <c r="M388" s="192"/>
      <c r="N388" s="192"/>
      <c r="O388" s="193"/>
      <c r="P388" s="32"/>
      <c r="Q388" s="6"/>
      <c r="R388" s="59"/>
      <c r="S388" s="1"/>
      <c r="T388" s="1"/>
      <c r="U388" s="1"/>
    </row>
    <row r="389" spans="1:21" ht="9.75" customHeight="1" x14ac:dyDescent="0.4">
      <c r="A389" s="1"/>
      <c r="B389" s="1"/>
      <c r="C389" s="220"/>
      <c r="D389" s="17" t="s">
        <v>308</v>
      </c>
      <c r="E389" s="17"/>
      <c r="F389" s="281"/>
      <c r="G389" s="192"/>
      <c r="H389" s="192"/>
      <c r="I389" s="192"/>
      <c r="J389" s="192"/>
      <c r="K389" s="192"/>
      <c r="L389" s="192"/>
      <c r="M389" s="192"/>
      <c r="N389" s="192"/>
      <c r="O389" s="193"/>
      <c r="P389" s="32"/>
      <c r="Q389" s="6"/>
      <c r="R389" s="59"/>
      <c r="S389" s="1"/>
      <c r="T389" s="1"/>
      <c r="U389" s="1"/>
    </row>
    <row r="390" spans="1:21" ht="9.75" customHeight="1" x14ac:dyDescent="0.4">
      <c r="A390" s="1"/>
      <c r="B390" s="1"/>
      <c r="C390" s="220"/>
      <c r="D390" s="17" t="s">
        <v>374</v>
      </c>
      <c r="E390" s="17"/>
      <c r="F390" s="281"/>
      <c r="G390" s="192"/>
      <c r="H390" s="192"/>
      <c r="I390" s="192"/>
      <c r="J390" s="192"/>
      <c r="K390" s="192"/>
      <c r="L390" s="192"/>
      <c r="M390" s="192"/>
      <c r="N390" s="192"/>
      <c r="O390" s="193"/>
      <c r="P390" s="32"/>
      <c r="Q390" s="6"/>
      <c r="R390" s="59"/>
      <c r="S390" s="1"/>
      <c r="T390" s="1"/>
      <c r="U390" s="1"/>
    </row>
    <row r="391" spans="1:21" ht="9.75" customHeight="1" x14ac:dyDescent="0.4">
      <c r="A391" s="1"/>
      <c r="B391" s="1"/>
      <c r="C391" s="220"/>
      <c r="D391" s="17" t="s">
        <v>374</v>
      </c>
      <c r="E391" s="17"/>
      <c r="F391" s="281"/>
      <c r="G391" s="192"/>
      <c r="H391" s="192"/>
      <c r="I391" s="192"/>
      <c r="J391" s="192"/>
      <c r="K391" s="192"/>
      <c r="L391" s="192"/>
      <c r="M391" s="192"/>
      <c r="N391" s="192"/>
      <c r="O391" s="193"/>
      <c r="P391" s="32"/>
      <c r="Q391" s="6"/>
      <c r="R391" s="59"/>
      <c r="S391" s="1"/>
      <c r="T391" s="1"/>
      <c r="U391" s="1"/>
    </row>
    <row r="392" spans="1:21" ht="9.75" customHeight="1" x14ac:dyDescent="0.4">
      <c r="A392" s="1"/>
      <c r="B392" s="1"/>
      <c r="C392" s="220"/>
      <c r="D392" s="17" t="s">
        <v>374</v>
      </c>
      <c r="E392" s="17"/>
      <c r="F392" s="281"/>
      <c r="G392" s="192"/>
      <c r="H392" s="192"/>
      <c r="I392" s="192"/>
      <c r="J392" s="192"/>
      <c r="K392" s="192"/>
      <c r="L392" s="192"/>
      <c r="M392" s="192"/>
      <c r="N392" s="192"/>
      <c r="O392" s="193"/>
      <c r="P392" s="32"/>
      <c r="Q392" s="6"/>
      <c r="R392" s="59"/>
      <c r="S392" s="1"/>
      <c r="T392" s="1"/>
      <c r="U392" s="1"/>
    </row>
    <row r="393" spans="1:21" ht="9.75" customHeight="1" x14ac:dyDescent="0.4">
      <c r="A393" s="1"/>
      <c r="B393" s="1"/>
      <c r="C393" s="220"/>
      <c r="D393" s="17" t="s">
        <v>374</v>
      </c>
      <c r="E393" s="17"/>
      <c r="F393" s="281"/>
      <c r="G393" s="192"/>
      <c r="H393" s="192"/>
      <c r="I393" s="192"/>
      <c r="J393" s="192"/>
      <c r="K393" s="192"/>
      <c r="L393" s="192"/>
      <c r="M393" s="192"/>
      <c r="N393" s="192"/>
      <c r="O393" s="193"/>
      <c r="P393" s="32"/>
      <c r="Q393" s="6"/>
      <c r="R393" s="59"/>
      <c r="S393" s="1"/>
      <c r="T393" s="1"/>
      <c r="U393" s="1"/>
    </row>
    <row r="394" spans="1:21" ht="9.75" customHeight="1" x14ac:dyDescent="0.4">
      <c r="A394" s="1"/>
      <c r="B394" s="1"/>
      <c r="C394" s="220"/>
      <c r="D394" s="17" t="s">
        <v>374</v>
      </c>
      <c r="E394" s="17"/>
      <c r="F394" s="281"/>
      <c r="G394" s="192"/>
      <c r="H394" s="192"/>
      <c r="I394" s="192"/>
      <c r="J394" s="192"/>
      <c r="K394" s="192"/>
      <c r="L394" s="192"/>
      <c r="M394" s="192"/>
      <c r="N394" s="192"/>
      <c r="O394" s="193"/>
      <c r="P394" s="32"/>
      <c r="Q394" s="6"/>
      <c r="R394" s="59"/>
      <c r="S394" s="1"/>
      <c r="T394" s="1"/>
      <c r="U394" s="1"/>
    </row>
    <row r="395" spans="1:21" ht="9.75" customHeight="1" x14ac:dyDescent="0.4">
      <c r="A395" s="1"/>
      <c r="B395" s="1"/>
      <c r="C395" s="220"/>
      <c r="D395" s="17" t="s">
        <v>374</v>
      </c>
      <c r="E395" s="17"/>
      <c r="F395" s="54"/>
      <c r="G395" s="58"/>
      <c r="H395" s="58"/>
      <c r="I395" s="58"/>
      <c r="J395" s="58"/>
      <c r="K395" s="192"/>
      <c r="L395" s="192"/>
      <c r="M395" s="192"/>
      <c r="N395" s="192"/>
      <c r="O395" s="193"/>
      <c r="P395" s="32"/>
      <c r="Q395" s="6"/>
      <c r="R395" s="59"/>
      <c r="S395" s="1"/>
      <c r="T395" s="1"/>
      <c r="U395" s="1"/>
    </row>
    <row r="396" spans="1:21" ht="9.75" customHeight="1" x14ac:dyDescent="0.4">
      <c r="A396" s="1"/>
      <c r="B396" s="1"/>
      <c r="C396" s="220"/>
      <c r="D396" s="17" t="s">
        <v>310</v>
      </c>
      <c r="E396" s="17">
        <v>5</v>
      </c>
      <c r="F396" s="54">
        <v>4</v>
      </c>
      <c r="G396" s="58">
        <v>4</v>
      </c>
      <c r="H396" s="58">
        <v>4</v>
      </c>
      <c r="I396" s="58">
        <v>4</v>
      </c>
      <c r="J396" s="58">
        <v>4</v>
      </c>
      <c r="K396" s="74">
        <v>3</v>
      </c>
      <c r="L396" s="74">
        <v>4</v>
      </c>
      <c r="M396" s="74">
        <v>4</v>
      </c>
      <c r="N396" s="74">
        <v>5</v>
      </c>
      <c r="O396" s="123">
        <v>5</v>
      </c>
      <c r="P396" s="54">
        <f>MIN(F396:O396)</f>
        <v>3</v>
      </c>
      <c r="Q396" s="58">
        <f>E396-P396</f>
        <v>2</v>
      </c>
      <c r="R396" s="59">
        <f>Q396/E396</f>
        <v>0.4</v>
      </c>
      <c r="S396" s="1"/>
      <c r="T396" s="1"/>
      <c r="U396" s="1"/>
    </row>
    <row r="397" spans="1:21" ht="9.75" customHeight="1" x14ac:dyDescent="0.4">
      <c r="A397" s="1"/>
      <c r="B397" s="1"/>
      <c r="C397" s="220"/>
      <c r="D397" s="17" t="s">
        <v>311</v>
      </c>
      <c r="E397" s="17"/>
      <c r="F397" s="32"/>
      <c r="G397" s="6"/>
      <c r="H397" s="6"/>
      <c r="I397" s="6"/>
      <c r="J397" s="6"/>
      <c r="K397" s="6"/>
      <c r="L397" s="6"/>
      <c r="M397" s="6"/>
      <c r="N397" s="6"/>
      <c r="O397" s="31"/>
      <c r="P397" s="32"/>
      <c r="Q397" s="6"/>
      <c r="R397" s="59"/>
      <c r="S397" s="1"/>
      <c r="T397" s="1"/>
      <c r="U397" s="1"/>
    </row>
    <row r="398" spans="1:21" ht="9.75" customHeight="1" x14ac:dyDescent="0.4">
      <c r="A398" s="1"/>
      <c r="B398" s="1"/>
      <c r="C398" s="220"/>
      <c r="D398" s="17" t="s">
        <v>312</v>
      </c>
      <c r="E398" s="17"/>
      <c r="F398" s="32"/>
      <c r="G398" s="6"/>
      <c r="H398" s="6"/>
      <c r="I398" s="6"/>
      <c r="J398" s="6"/>
      <c r="K398" s="6"/>
      <c r="L398" s="6"/>
      <c r="M398" s="6"/>
      <c r="N398" s="6"/>
      <c r="O398" s="31"/>
      <c r="P398" s="32"/>
      <c r="Q398" s="6"/>
      <c r="R398" s="59"/>
      <c r="S398" s="1"/>
      <c r="T398" s="1"/>
      <c r="U398" s="1"/>
    </row>
    <row r="399" spans="1:21" ht="9.75" customHeight="1" x14ac:dyDescent="0.4">
      <c r="A399" s="1"/>
      <c r="B399" s="1"/>
      <c r="C399" s="220"/>
      <c r="D399" s="17" t="s">
        <v>313</v>
      </c>
      <c r="E399" s="17"/>
      <c r="F399" s="32"/>
      <c r="G399" s="6"/>
      <c r="H399" s="6"/>
      <c r="I399" s="6"/>
      <c r="J399" s="6"/>
      <c r="K399" s="6"/>
      <c r="L399" s="6"/>
      <c r="M399" s="6"/>
      <c r="N399" s="6"/>
      <c r="O399" s="31"/>
      <c r="P399" s="32"/>
      <c r="Q399" s="6"/>
      <c r="R399" s="59"/>
      <c r="S399" s="1"/>
      <c r="T399" s="1"/>
      <c r="U399" s="1"/>
    </row>
    <row r="400" spans="1:21" ht="9.75" customHeight="1" x14ac:dyDescent="0.4">
      <c r="A400" s="1"/>
      <c r="B400" s="1" t="s">
        <v>395</v>
      </c>
      <c r="C400" s="221"/>
      <c r="D400" s="65" t="s">
        <v>314</v>
      </c>
      <c r="E400" s="65">
        <f t="shared" ref="E400:O400" si="38">SUM(E384:E399)</f>
        <v>115</v>
      </c>
      <c r="F400" s="70">
        <f t="shared" si="38"/>
        <v>35</v>
      </c>
      <c r="G400" s="71">
        <f t="shared" si="38"/>
        <v>4</v>
      </c>
      <c r="H400" s="71">
        <f t="shared" si="38"/>
        <v>6</v>
      </c>
      <c r="I400" s="71">
        <f t="shared" si="38"/>
        <v>4</v>
      </c>
      <c r="J400" s="71">
        <f t="shared" si="38"/>
        <v>4</v>
      </c>
      <c r="K400" s="71">
        <f t="shared" si="38"/>
        <v>11</v>
      </c>
      <c r="L400" s="71">
        <f t="shared" si="38"/>
        <v>10</v>
      </c>
      <c r="M400" s="71">
        <f t="shared" si="38"/>
        <v>12</v>
      </c>
      <c r="N400" s="71">
        <f t="shared" si="38"/>
        <v>38</v>
      </c>
      <c r="O400" s="157">
        <f t="shared" si="38"/>
        <v>55</v>
      </c>
      <c r="P400" s="70">
        <f t="shared" ref="P400:P401" si="39">MIN(F400:O400)</f>
        <v>4</v>
      </c>
      <c r="Q400" s="71">
        <f t="shared" ref="Q400:Q401" si="40">E400-P400</f>
        <v>111</v>
      </c>
      <c r="R400" s="72">
        <f t="shared" ref="R400:R401" si="41">Q400/E400</f>
        <v>0.9652173913043478</v>
      </c>
      <c r="S400" s="1"/>
      <c r="T400" s="1"/>
      <c r="U400" s="1"/>
    </row>
    <row r="401" spans="1:21" ht="9.75" customHeight="1" x14ac:dyDescent="0.4">
      <c r="A401" s="1"/>
      <c r="B401" s="1"/>
      <c r="C401" s="191" t="s">
        <v>74</v>
      </c>
      <c r="D401" s="15" t="s">
        <v>300</v>
      </c>
      <c r="E401" s="15">
        <v>84</v>
      </c>
      <c r="F401" s="73">
        <f>E401-18</f>
        <v>66</v>
      </c>
      <c r="G401" s="108">
        <v>3</v>
      </c>
      <c r="H401" s="108">
        <v>1</v>
      </c>
      <c r="I401" s="108">
        <v>0</v>
      </c>
      <c r="J401" s="108">
        <v>0</v>
      </c>
      <c r="K401" s="79">
        <v>3</v>
      </c>
      <c r="L401" s="79">
        <v>10</v>
      </c>
      <c r="M401" s="79">
        <v>11</v>
      </c>
      <c r="N401" s="79">
        <f>E401-23</f>
        <v>61</v>
      </c>
      <c r="O401" s="122">
        <f>E401-31</f>
        <v>53</v>
      </c>
      <c r="P401" s="73">
        <f t="shared" si="39"/>
        <v>0</v>
      </c>
      <c r="Q401" s="108">
        <f t="shared" si="40"/>
        <v>84</v>
      </c>
      <c r="R401" s="188">
        <f t="shared" si="41"/>
        <v>1</v>
      </c>
      <c r="S401" s="1"/>
      <c r="T401" s="1"/>
      <c r="U401" s="1"/>
    </row>
    <row r="402" spans="1:21" ht="9.75" customHeight="1" x14ac:dyDescent="0.4">
      <c r="A402" s="1"/>
      <c r="B402" s="1"/>
      <c r="C402" s="220"/>
      <c r="D402" s="17" t="s">
        <v>301</v>
      </c>
      <c r="E402" s="17"/>
      <c r="F402" s="32"/>
      <c r="G402" s="6"/>
      <c r="H402" s="6"/>
      <c r="I402" s="6"/>
      <c r="J402" s="6"/>
      <c r="K402" s="192"/>
      <c r="L402" s="192"/>
      <c r="M402" s="192"/>
      <c r="N402" s="192"/>
      <c r="O402" s="193"/>
      <c r="P402" s="32"/>
      <c r="Q402" s="6"/>
      <c r="R402" s="59"/>
      <c r="S402" s="1"/>
      <c r="T402" s="1"/>
      <c r="U402" s="1"/>
    </row>
    <row r="403" spans="1:21" ht="9.75" customHeight="1" x14ac:dyDescent="0.4">
      <c r="A403" s="1"/>
      <c r="B403" s="1"/>
      <c r="C403" s="220"/>
      <c r="D403" s="17" t="s">
        <v>303</v>
      </c>
      <c r="E403" s="17"/>
      <c r="F403" s="32"/>
      <c r="G403" s="6"/>
      <c r="H403" s="6"/>
      <c r="I403" s="6"/>
      <c r="J403" s="6"/>
      <c r="K403" s="192"/>
      <c r="L403" s="192"/>
      <c r="M403" s="192"/>
      <c r="N403" s="192"/>
      <c r="O403" s="193"/>
      <c r="P403" s="32"/>
      <c r="Q403" s="6"/>
      <c r="R403" s="59"/>
      <c r="S403" s="1"/>
      <c r="T403" s="1"/>
      <c r="U403" s="1"/>
    </row>
    <row r="404" spans="1:21" ht="9.75" customHeight="1" x14ac:dyDescent="0.4">
      <c r="A404" s="1"/>
      <c r="B404" s="1"/>
      <c r="C404" s="220"/>
      <c r="D404" s="17" t="s">
        <v>421</v>
      </c>
      <c r="E404" s="17">
        <v>26</v>
      </c>
      <c r="F404" s="32">
        <f>E404-15</f>
        <v>11</v>
      </c>
      <c r="G404" s="6">
        <v>0</v>
      </c>
      <c r="H404" s="6">
        <v>0</v>
      </c>
      <c r="I404" s="6">
        <v>0</v>
      </c>
      <c r="J404" s="6">
        <v>0</v>
      </c>
      <c r="K404" s="74">
        <v>5</v>
      </c>
      <c r="L404" s="74">
        <v>0</v>
      </c>
      <c r="M404" s="74">
        <v>2</v>
      </c>
      <c r="N404" s="74">
        <v>10</v>
      </c>
      <c r="O404" s="123">
        <v>8</v>
      </c>
      <c r="P404" s="32">
        <f>MIN(F404:O404)</f>
        <v>0</v>
      </c>
      <c r="Q404" s="6">
        <f>E404-P404</f>
        <v>26</v>
      </c>
      <c r="R404" s="59">
        <f>Q404/E404</f>
        <v>1</v>
      </c>
      <c r="S404" s="1"/>
      <c r="T404" s="1"/>
      <c r="U404" s="1"/>
    </row>
    <row r="405" spans="1:21" ht="9.75" customHeight="1" x14ac:dyDescent="0.4">
      <c r="A405" s="1"/>
      <c r="B405" s="1"/>
      <c r="C405" s="220"/>
      <c r="D405" s="17" t="s">
        <v>369</v>
      </c>
      <c r="E405" s="17"/>
      <c r="F405" s="32"/>
      <c r="G405" s="6"/>
      <c r="H405" s="6"/>
      <c r="I405" s="6"/>
      <c r="J405" s="6"/>
      <c r="K405" s="192"/>
      <c r="L405" s="192"/>
      <c r="M405" s="192"/>
      <c r="N405" s="192"/>
      <c r="O405" s="193"/>
      <c r="P405" s="32"/>
      <c r="Q405" s="6"/>
      <c r="R405" s="59"/>
      <c r="S405" s="1"/>
      <c r="T405" s="1"/>
      <c r="U405" s="1"/>
    </row>
    <row r="406" spans="1:21" ht="9.75" customHeight="1" x14ac:dyDescent="0.4">
      <c r="A406" s="1"/>
      <c r="B406" s="1"/>
      <c r="C406" s="220"/>
      <c r="D406" s="17" t="s">
        <v>308</v>
      </c>
      <c r="E406" s="17">
        <v>5</v>
      </c>
      <c r="F406" s="32">
        <f>E406-1</f>
        <v>4</v>
      </c>
      <c r="G406" s="6">
        <v>5</v>
      </c>
      <c r="H406" s="6">
        <v>4</v>
      </c>
      <c r="I406" s="6">
        <v>4</v>
      </c>
      <c r="J406" s="6">
        <v>3</v>
      </c>
      <c r="K406" s="74">
        <v>2</v>
      </c>
      <c r="L406" s="74">
        <v>5</v>
      </c>
      <c r="M406" s="74">
        <v>1</v>
      </c>
      <c r="N406" s="74">
        <v>3</v>
      </c>
      <c r="O406" s="123">
        <v>5</v>
      </c>
      <c r="P406" s="32">
        <f t="shared" ref="P406:P407" si="42">MIN(F406:O406)</f>
        <v>1</v>
      </c>
      <c r="Q406" s="6">
        <f t="shared" ref="Q406:Q407" si="43">E406-P406</f>
        <v>4</v>
      </c>
      <c r="R406" s="59">
        <f t="shared" ref="R406:R407" si="44">Q406/E406</f>
        <v>0.8</v>
      </c>
      <c r="S406" s="1"/>
      <c r="T406" s="1"/>
      <c r="U406" s="1"/>
    </row>
    <row r="407" spans="1:21" ht="9.75" customHeight="1" x14ac:dyDescent="0.4">
      <c r="A407" s="1"/>
      <c r="B407" s="1"/>
      <c r="C407" s="220"/>
      <c r="D407" s="17" t="s">
        <v>422</v>
      </c>
      <c r="E407" s="17">
        <v>2</v>
      </c>
      <c r="F407" s="32">
        <v>1</v>
      </c>
      <c r="G407" s="6">
        <v>1</v>
      </c>
      <c r="H407" s="6">
        <v>1</v>
      </c>
      <c r="I407" s="6">
        <v>1</v>
      </c>
      <c r="J407" s="6">
        <v>1</v>
      </c>
      <c r="K407" s="74">
        <v>1</v>
      </c>
      <c r="L407" s="74">
        <v>1</v>
      </c>
      <c r="M407" s="74">
        <v>2</v>
      </c>
      <c r="N407" s="74">
        <v>2</v>
      </c>
      <c r="O407" s="123">
        <v>2</v>
      </c>
      <c r="P407" s="32">
        <f t="shared" si="42"/>
        <v>1</v>
      </c>
      <c r="Q407" s="6">
        <f t="shared" si="43"/>
        <v>1</v>
      </c>
      <c r="R407" s="59">
        <f t="shared" si="44"/>
        <v>0.5</v>
      </c>
      <c r="S407" s="1"/>
      <c r="T407" s="1"/>
      <c r="U407" s="1"/>
    </row>
    <row r="408" spans="1:21" ht="9.75" customHeight="1" x14ac:dyDescent="0.4">
      <c r="A408" s="1"/>
      <c r="B408" s="1"/>
      <c r="C408" s="220"/>
      <c r="D408" s="17" t="s">
        <v>374</v>
      </c>
      <c r="E408" s="17"/>
      <c r="F408" s="32"/>
      <c r="G408" s="6"/>
      <c r="H408" s="6"/>
      <c r="I408" s="6"/>
      <c r="J408" s="6"/>
      <c r="K408" s="192"/>
      <c r="L408" s="192"/>
      <c r="M408" s="192"/>
      <c r="N408" s="192"/>
      <c r="O408" s="193"/>
      <c r="P408" s="32"/>
      <c r="Q408" s="6"/>
      <c r="R408" s="59"/>
      <c r="S408" s="1"/>
      <c r="T408" s="1"/>
      <c r="U408" s="1"/>
    </row>
    <row r="409" spans="1:21" ht="9.75" customHeight="1" x14ac:dyDescent="0.4">
      <c r="A409" s="1"/>
      <c r="B409" s="1"/>
      <c r="C409" s="220"/>
      <c r="D409" s="17" t="s">
        <v>374</v>
      </c>
      <c r="E409" s="17"/>
      <c r="F409" s="32"/>
      <c r="G409" s="6"/>
      <c r="H409" s="6"/>
      <c r="I409" s="6"/>
      <c r="J409" s="6"/>
      <c r="K409" s="192"/>
      <c r="L409" s="192"/>
      <c r="M409" s="192"/>
      <c r="N409" s="192"/>
      <c r="O409" s="193"/>
      <c r="P409" s="32"/>
      <c r="Q409" s="6"/>
      <c r="R409" s="59"/>
      <c r="S409" s="1"/>
      <c r="T409" s="1"/>
      <c r="U409" s="1"/>
    </row>
    <row r="410" spans="1:21" ht="9.75" customHeight="1" x14ac:dyDescent="0.4">
      <c r="A410" s="1"/>
      <c r="B410" s="1"/>
      <c r="C410" s="220"/>
      <c r="D410" s="17" t="s">
        <v>374</v>
      </c>
      <c r="E410" s="17"/>
      <c r="F410" s="32"/>
      <c r="G410" s="6"/>
      <c r="H410" s="6"/>
      <c r="I410" s="6"/>
      <c r="J410" s="6"/>
      <c r="K410" s="192"/>
      <c r="L410" s="192"/>
      <c r="M410" s="192"/>
      <c r="N410" s="192"/>
      <c r="O410" s="193"/>
      <c r="P410" s="32"/>
      <c r="Q410" s="6"/>
      <c r="R410" s="59"/>
      <c r="S410" s="1"/>
      <c r="T410" s="1"/>
      <c r="U410" s="1"/>
    </row>
    <row r="411" spans="1:21" ht="9.75" customHeight="1" x14ac:dyDescent="0.4">
      <c r="A411" s="1"/>
      <c r="B411" s="1"/>
      <c r="C411" s="220"/>
      <c r="D411" s="17" t="s">
        <v>374</v>
      </c>
      <c r="E411" s="17"/>
      <c r="F411" s="32"/>
      <c r="G411" s="6"/>
      <c r="H411" s="6"/>
      <c r="I411" s="6"/>
      <c r="J411" s="6"/>
      <c r="K411" s="192"/>
      <c r="L411" s="192"/>
      <c r="M411" s="192"/>
      <c r="N411" s="192"/>
      <c r="O411" s="193"/>
      <c r="P411" s="32"/>
      <c r="Q411" s="6"/>
      <c r="R411" s="59"/>
      <c r="S411" s="1"/>
      <c r="T411" s="1"/>
      <c r="U411" s="1"/>
    </row>
    <row r="412" spans="1:21" ht="9.75" customHeight="1" x14ac:dyDescent="0.4">
      <c r="A412" s="1"/>
      <c r="B412" s="1"/>
      <c r="C412" s="220"/>
      <c r="D412" s="17" t="s">
        <v>374</v>
      </c>
      <c r="E412" s="17"/>
      <c r="F412" s="32"/>
      <c r="G412" s="6"/>
      <c r="H412" s="6"/>
      <c r="I412" s="6"/>
      <c r="J412" s="6"/>
      <c r="K412" s="192"/>
      <c r="L412" s="192"/>
      <c r="M412" s="192"/>
      <c r="N412" s="192"/>
      <c r="O412" s="193"/>
      <c r="P412" s="32"/>
      <c r="Q412" s="6"/>
      <c r="R412" s="59"/>
      <c r="S412" s="1"/>
      <c r="T412" s="1"/>
      <c r="U412" s="1"/>
    </row>
    <row r="413" spans="1:21" ht="9.75" customHeight="1" x14ac:dyDescent="0.4">
      <c r="A413" s="1"/>
      <c r="B413" s="1"/>
      <c r="C413" s="220"/>
      <c r="D413" s="17" t="s">
        <v>310</v>
      </c>
      <c r="E413" s="17">
        <v>6</v>
      </c>
      <c r="F413" s="32">
        <f>E413-4</f>
        <v>2</v>
      </c>
      <c r="G413" s="6">
        <v>3</v>
      </c>
      <c r="H413" s="6">
        <v>3</v>
      </c>
      <c r="I413" s="6">
        <v>3</v>
      </c>
      <c r="J413" s="6">
        <v>2</v>
      </c>
      <c r="K413" s="74">
        <v>4</v>
      </c>
      <c r="L413" s="74">
        <v>3</v>
      </c>
      <c r="M413" s="74">
        <v>6</v>
      </c>
      <c r="N413" s="74">
        <v>6</v>
      </c>
      <c r="O413" s="123">
        <v>4</v>
      </c>
      <c r="P413" s="32">
        <f>MIN(F413:O413)</f>
        <v>2</v>
      </c>
      <c r="Q413" s="6">
        <f>E413-P413</f>
        <v>4</v>
      </c>
      <c r="R413" s="59">
        <f>Q413/E413</f>
        <v>0.66666666666666663</v>
      </c>
      <c r="S413" s="1"/>
      <c r="T413" s="1"/>
      <c r="U413" s="1"/>
    </row>
    <row r="414" spans="1:21" ht="9.75" customHeight="1" x14ac:dyDescent="0.4">
      <c r="A414" s="1"/>
      <c r="B414" s="1"/>
      <c r="C414" s="220"/>
      <c r="D414" s="17" t="s">
        <v>311</v>
      </c>
      <c r="E414" s="17"/>
      <c r="F414" s="32"/>
      <c r="G414" s="6"/>
      <c r="H414" s="6"/>
      <c r="I414" s="6"/>
      <c r="J414" s="6"/>
      <c r="K414" s="192"/>
      <c r="L414" s="192"/>
      <c r="M414" s="192"/>
      <c r="N414" s="192"/>
      <c r="O414" s="193"/>
      <c r="P414" s="32"/>
      <c r="Q414" s="6"/>
      <c r="R414" s="59"/>
      <c r="S414" s="1"/>
      <c r="T414" s="1"/>
      <c r="U414" s="1"/>
    </row>
    <row r="415" spans="1:21" ht="9.75" customHeight="1" x14ac:dyDescent="0.4">
      <c r="A415" s="1"/>
      <c r="B415" s="1"/>
      <c r="C415" s="220"/>
      <c r="D415" s="17" t="s">
        <v>312</v>
      </c>
      <c r="E415" s="17">
        <v>2</v>
      </c>
      <c r="F415" s="32">
        <v>1</v>
      </c>
      <c r="G415" s="6">
        <v>2</v>
      </c>
      <c r="H415" s="6">
        <v>1</v>
      </c>
      <c r="I415" s="6">
        <v>1</v>
      </c>
      <c r="J415" s="6">
        <v>1</v>
      </c>
      <c r="K415" s="74">
        <v>2</v>
      </c>
      <c r="L415" s="74">
        <v>1</v>
      </c>
      <c r="M415" s="74">
        <v>1</v>
      </c>
      <c r="N415" s="74">
        <v>2</v>
      </c>
      <c r="O415" s="123">
        <v>2</v>
      </c>
      <c r="P415" s="32">
        <f t="shared" ref="P415:P418" si="45">MIN(F415:O415)</f>
        <v>1</v>
      </c>
      <c r="Q415" s="6">
        <f t="shared" ref="Q415:Q418" si="46">E415-P415</f>
        <v>1</v>
      </c>
      <c r="R415" s="59">
        <f t="shared" ref="R415:R418" si="47">Q415/E415</f>
        <v>0.5</v>
      </c>
      <c r="S415" s="1"/>
      <c r="T415" s="1"/>
      <c r="U415" s="1"/>
    </row>
    <row r="416" spans="1:21" ht="9.75" customHeight="1" x14ac:dyDescent="0.4">
      <c r="A416" s="1"/>
      <c r="B416" s="1"/>
      <c r="C416" s="220"/>
      <c r="D416" s="17" t="s">
        <v>313</v>
      </c>
      <c r="E416" s="17">
        <v>2</v>
      </c>
      <c r="F416" s="32">
        <v>0</v>
      </c>
      <c r="G416" s="6">
        <v>2</v>
      </c>
      <c r="H416" s="6">
        <v>2</v>
      </c>
      <c r="I416" s="6">
        <v>2</v>
      </c>
      <c r="J416" s="6">
        <v>1</v>
      </c>
      <c r="K416" s="194">
        <v>2</v>
      </c>
      <c r="L416" s="194">
        <v>1</v>
      </c>
      <c r="M416" s="194">
        <v>1</v>
      </c>
      <c r="N416" s="194">
        <v>2</v>
      </c>
      <c r="O416" s="195">
        <v>2</v>
      </c>
      <c r="P416" s="32">
        <f t="shared" si="45"/>
        <v>0</v>
      </c>
      <c r="Q416" s="6">
        <f t="shared" si="46"/>
        <v>2</v>
      </c>
      <c r="R416" s="59">
        <f t="shared" si="47"/>
        <v>1</v>
      </c>
      <c r="S416" s="1"/>
      <c r="T416" s="1"/>
      <c r="U416" s="1"/>
    </row>
    <row r="417" spans="1:21" ht="9.75" customHeight="1" x14ac:dyDescent="0.4">
      <c r="A417" s="1"/>
      <c r="B417" s="1" t="s">
        <v>395</v>
      </c>
      <c r="C417" s="221"/>
      <c r="D417" s="65" t="s">
        <v>314</v>
      </c>
      <c r="E417" s="65">
        <f t="shared" ref="E417:O417" si="48">SUM(E401:E416)</f>
        <v>127</v>
      </c>
      <c r="F417" s="104">
        <f t="shared" si="48"/>
        <v>85</v>
      </c>
      <c r="G417" s="128">
        <f t="shared" si="48"/>
        <v>16</v>
      </c>
      <c r="H417" s="128">
        <f t="shared" si="48"/>
        <v>12</v>
      </c>
      <c r="I417" s="128">
        <f t="shared" si="48"/>
        <v>11</v>
      </c>
      <c r="J417" s="128">
        <f t="shared" si="48"/>
        <v>8</v>
      </c>
      <c r="K417" s="71">
        <f t="shared" si="48"/>
        <v>19</v>
      </c>
      <c r="L417" s="71">
        <f t="shared" si="48"/>
        <v>21</v>
      </c>
      <c r="M417" s="71">
        <f t="shared" si="48"/>
        <v>24</v>
      </c>
      <c r="N417" s="71">
        <f t="shared" si="48"/>
        <v>86</v>
      </c>
      <c r="O417" s="157">
        <f t="shared" si="48"/>
        <v>76</v>
      </c>
      <c r="P417" s="104">
        <f t="shared" si="45"/>
        <v>8</v>
      </c>
      <c r="Q417" s="128">
        <f t="shared" si="46"/>
        <v>119</v>
      </c>
      <c r="R417" s="72">
        <f t="shared" si="47"/>
        <v>0.93700787401574803</v>
      </c>
      <c r="S417" s="1"/>
      <c r="T417" s="1"/>
      <c r="U417" s="1"/>
    </row>
    <row r="418" spans="1:21" ht="9.75" customHeight="1" x14ac:dyDescent="0.4">
      <c r="A418" s="1"/>
      <c r="B418" s="1"/>
      <c r="C418" s="191" t="s">
        <v>94</v>
      </c>
      <c r="D418" s="15" t="s">
        <v>300</v>
      </c>
      <c r="E418" s="15">
        <v>73</v>
      </c>
      <c r="F418" s="73">
        <v>0</v>
      </c>
      <c r="G418" s="108">
        <v>0</v>
      </c>
      <c r="H418" s="108">
        <v>0</v>
      </c>
      <c r="I418" s="108">
        <v>0</v>
      </c>
      <c r="J418" s="108">
        <v>0</v>
      </c>
      <c r="K418" s="79">
        <v>3</v>
      </c>
      <c r="L418" s="79">
        <v>0</v>
      </c>
      <c r="M418" s="79">
        <v>2</v>
      </c>
      <c r="N418" s="79">
        <v>10</v>
      </c>
      <c r="O418" s="122">
        <v>2</v>
      </c>
      <c r="P418" s="32">
        <f t="shared" si="45"/>
        <v>0</v>
      </c>
      <c r="Q418" s="6">
        <f t="shared" si="46"/>
        <v>73</v>
      </c>
      <c r="R418" s="59">
        <f t="shared" si="47"/>
        <v>1</v>
      </c>
      <c r="S418" s="1"/>
      <c r="T418" s="1"/>
      <c r="U418" s="1"/>
    </row>
    <row r="419" spans="1:21" ht="9.75" customHeight="1" x14ac:dyDescent="0.4">
      <c r="A419" s="1"/>
      <c r="B419" s="1"/>
      <c r="C419" s="220"/>
      <c r="D419" s="17" t="s">
        <v>301</v>
      </c>
      <c r="E419" s="17"/>
      <c r="F419" s="32"/>
      <c r="G419" s="6"/>
      <c r="H419" s="6"/>
      <c r="I419" s="6"/>
      <c r="J419" s="6"/>
      <c r="K419" s="192"/>
      <c r="L419" s="192"/>
      <c r="M419" s="192"/>
      <c r="N419" s="192"/>
      <c r="O419" s="193"/>
      <c r="P419" s="32"/>
      <c r="Q419" s="6"/>
      <c r="R419" s="59"/>
      <c r="S419" s="1"/>
      <c r="T419" s="1"/>
      <c r="U419" s="1"/>
    </row>
    <row r="420" spans="1:21" ht="9.75" customHeight="1" x14ac:dyDescent="0.4">
      <c r="A420" s="1"/>
      <c r="B420" s="1"/>
      <c r="C420" s="220"/>
      <c r="D420" s="17" t="s">
        <v>303</v>
      </c>
      <c r="E420" s="17"/>
      <c r="F420" s="32"/>
      <c r="G420" s="6"/>
      <c r="H420" s="6"/>
      <c r="I420" s="6"/>
      <c r="J420" s="6"/>
      <c r="K420" s="192"/>
      <c r="L420" s="192"/>
      <c r="M420" s="192"/>
      <c r="N420" s="192"/>
      <c r="O420" s="193"/>
      <c r="P420" s="32"/>
      <c r="Q420" s="6"/>
      <c r="R420" s="59"/>
      <c r="S420" s="1"/>
      <c r="T420" s="1"/>
      <c r="U420" s="1"/>
    </row>
    <row r="421" spans="1:21" ht="9.75" customHeight="1" x14ac:dyDescent="0.4">
      <c r="A421" s="1"/>
      <c r="B421" s="1"/>
      <c r="C421" s="220"/>
      <c r="D421" s="17" t="s">
        <v>369</v>
      </c>
      <c r="E421" s="17"/>
      <c r="F421" s="32"/>
      <c r="G421" s="6"/>
      <c r="H421" s="6"/>
      <c r="I421" s="6"/>
      <c r="J421" s="6"/>
      <c r="K421" s="192"/>
      <c r="L421" s="192"/>
      <c r="M421" s="192"/>
      <c r="N421" s="192"/>
      <c r="O421" s="193"/>
      <c r="P421" s="32"/>
      <c r="Q421" s="6"/>
      <c r="R421" s="59"/>
      <c r="S421" s="1"/>
      <c r="T421" s="1"/>
      <c r="U421" s="1"/>
    </row>
    <row r="422" spans="1:21" ht="9.75" customHeight="1" x14ac:dyDescent="0.4">
      <c r="A422" s="1"/>
      <c r="B422" s="1"/>
      <c r="C422" s="220"/>
      <c r="D422" s="17" t="s">
        <v>369</v>
      </c>
      <c r="E422" s="17"/>
      <c r="F422" s="32"/>
      <c r="G422" s="6"/>
      <c r="H422" s="6"/>
      <c r="I422" s="6"/>
      <c r="J422" s="6"/>
      <c r="K422" s="192"/>
      <c r="L422" s="192"/>
      <c r="M422" s="192"/>
      <c r="N422" s="192"/>
      <c r="O422" s="193"/>
      <c r="P422" s="32"/>
      <c r="Q422" s="6"/>
      <c r="R422" s="59"/>
      <c r="S422" s="1"/>
      <c r="T422" s="1"/>
      <c r="U422" s="1"/>
    </row>
    <row r="423" spans="1:21" ht="9.75" customHeight="1" x14ac:dyDescent="0.4">
      <c r="A423" s="1"/>
      <c r="B423" s="1"/>
      <c r="C423" s="220"/>
      <c r="D423" s="17" t="s">
        <v>308</v>
      </c>
      <c r="E423" s="17"/>
      <c r="F423" s="32"/>
      <c r="G423" s="6"/>
      <c r="H423" s="6"/>
      <c r="I423" s="6"/>
      <c r="J423" s="6"/>
      <c r="K423" s="192"/>
      <c r="L423" s="192"/>
      <c r="M423" s="192"/>
      <c r="N423" s="192"/>
      <c r="O423" s="193"/>
      <c r="P423" s="32"/>
      <c r="Q423" s="6"/>
      <c r="R423" s="59"/>
      <c r="S423" s="1"/>
      <c r="T423" s="1"/>
      <c r="U423" s="1"/>
    </row>
    <row r="424" spans="1:21" ht="9.75" customHeight="1" x14ac:dyDescent="0.4">
      <c r="A424" s="1"/>
      <c r="B424" s="1"/>
      <c r="C424" s="220"/>
      <c r="D424" s="17" t="s">
        <v>374</v>
      </c>
      <c r="E424" s="17"/>
      <c r="F424" s="32"/>
      <c r="G424" s="6"/>
      <c r="H424" s="6"/>
      <c r="I424" s="6"/>
      <c r="J424" s="6"/>
      <c r="K424" s="192"/>
      <c r="L424" s="192"/>
      <c r="M424" s="192"/>
      <c r="N424" s="192"/>
      <c r="O424" s="193"/>
      <c r="P424" s="32"/>
      <c r="Q424" s="6"/>
      <c r="R424" s="59"/>
      <c r="S424" s="1"/>
      <c r="T424" s="1"/>
      <c r="U424" s="1"/>
    </row>
    <row r="425" spans="1:21" ht="9.75" customHeight="1" x14ac:dyDescent="0.4">
      <c r="A425" s="1"/>
      <c r="B425" s="1"/>
      <c r="C425" s="220"/>
      <c r="D425" s="17" t="s">
        <v>374</v>
      </c>
      <c r="E425" s="17"/>
      <c r="F425" s="32"/>
      <c r="G425" s="6"/>
      <c r="H425" s="6"/>
      <c r="I425" s="6"/>
      <c r="J425" s="6"/>
      <c r="K425" s="192"/>
      <c r="L425" s="192"/>
      <c r="M425" s="192"/>
      <c r="N425" s="192"/>
      <c r="O425" s="193"/>
      <c r="P425" s="32"/>
      <c r="Q425" s="6"/>
      <c r="R425" s="59"/>
      <c r="S425" s="1"/>
      <c r="T425" s="1"/>
      <c r="U425" s="1"/>
    </row>
    <row r="426" spans="1:21" ht="9.75" customHeight="1" x14ac:dyDescent="0.4">
      <c r="A426" s="1"/>
      <c r="B426" s="1"/>
      <c r="C426" s="220"/>
      <c r="D426" s="17" t="s">
        <v>374</v>
      </c>
      <c r="E426" s="17"/>
      <c r="F426" s="32"/>
      <c r="G426" s="6"/>
      <c r="H426" s="6"/>
      <c r="I426" s="6"/>
      <c r="J426" s="6"/>
      <c r="K426" s="192"/>
      <c r="L426" s="192"/>
      <c r="M426" s="192"/>
      <c r="N426" s="192"/>
      <c r="O426" s="193"/>
      <c r="P426" s="32"/>
      <c r="Q426" s="6"/>
      <c r="R426" s="59"/>
      <c r="S426" s="1"/>
      <c r="T426" s="1"/>
      <c r="U426" s="1"/>
    </row>
    <row r="427" spans="1:21" ht="9.75" customHeight="1" x14ac:dyDescent="0.4">
      <c r="A427" s="1"/>
      <c r="B427" s="1"/>
      <c r="C427" s="220"/>
      <c r="D427" s="17" t="s">
        <v>374</v>
      </c>
      <c r="E427" s="17"/>
      <c r="F427" s="32"/>
      <c r="G427" s="6"/>
      <c r="H427" s="6"/>
      <c r="I427" s="6"/>
      <c r="J427" s="6"/>
      <c r="K427" s="192"/>
      <c r="L427" s="192"/>
      <c r="M427" s="192"/>
      <c r="N427" s="192"/>
      <c r="O427" s="193"/>
      <c r="P427" s="32"/>
      <c r="Q427" s="6"/>
      <c r="R427" s="59"/>
      <c r="S427" s="1"/>
      <c r="T427" s="1"/>
      <c r="U427" s="1"/>
    </row>
    <row r="428" spans="1:21" ht="9.75" customHeight="1" x14ac:dyDescent="0.4">
      <c r="A428" s="1"/>
      <c r="B428" s="1"/>
      <c r="C428" s="220"/>
      <c r="D428" s="17" t="s">
        <v>374</v>
      </c>
      <c r="E428" s="17"/>
      <c r="F428" s="32"/>
      <c r="G428" s="6"/>
      <c r="H428" s="6"/>
      <c r="I428" s="6"/>
      <c r="J428" s="6"/>
      <c r="K428" s="192"/>
      <c r="L428" s="192"/>
      <c r="M428" s="192"/>
      <c r="N428" s="192"/>
      <c r="O428" s="193"/>
      <c r="P428" s="32"/>
      <c r="Q428" s="6"/>
      <c r="R428" s="59"/>
      <c r="S428" s="1"/>
      <c r="T428" s="1"/>
      <c r="U428" s="1"/>
    </row>
    <row r="429" spans="1:21" ht="9.75" customHeight="1" x14ac:dyDescent="0.4">
      <c r="A429" s="1"/>
      <c r="B429" s="1"/>
      <c r="C429" s="220"/>
      <c r="D429" s="17" t="s">
        <v>374</v>
      </c>
      <c r="E429" s="17"/>
      <c r="F429" s="32"/>
      <c r="G429" s="6"/>
      <c r="H429" s="6"/>
      <c r="I429" s="6"/>
      <c r="J429" s="6"/>
      <c r="K429" s="192"/>
      <c r="L429" s="192"/>
      <c r="M429" s="192"/>
      <c r="N429" s="192"/>
      <c r="O429" s="193"/>
      <c r="P429" s="32"/>
      <c r="Q429" s="6"/>
      <c r="R429" s="59"/>
      <c r="S429" s="1"/>
      <c r="T429" s="1"/>
      <c r="U429" s="1"/>
    </row>
    <row r="430" spans="1:21" ht="9.75" customHeight="1" x14ac:dyDescent="0.4">
      <c r="A430" s="1"/>
      <c r="B430" s="1"/>
      <c r="C430" s="220"/>
      <c r="D430" s="17" t="s">
        <v>310</v>
      </c>
      <c r="E430" s="17">
        <v>2</v>
      </c>
      <c r="F430" s="32">
        <v>1</v>
      </c>
      <c r="G430" s="6">
        <v>1</v>
      </c>
      <c r="H430" s="6">
        <v>1</v>
      </c>
      <c r="I430" s="6">
        <v>1</v>
      </c>
      <c r="J430" s="6">
        <v>0</v>
      </c>
      <c r="K430" s="74">
        <v>2</v>
      </c>
      <c r="L430" s="74">
        <v>2</v>
      </c>
      <c r="M430" s="74">
        <v>1</v>
      </c>
      <c r="N430" s="74">
        <v>2</v>
      </c>
      <c r="O430" s="123">
        <v>1</v>
      </c>
      <c r="P430" s="32">
        <f>MIN(F430:O430)</f>
        <v>0</v>
      </c>
      <c r="Q430" s="6">
        <f>E430-P430</f>
        <v>2</v>
      </c>
      <c r="R430" s="59">
        <f>Q430/E430</f>
        <v>1</v>
      </c>
      <c r="S430" s="1"/>
      <c r="T430" s="1"/>
      <c r="U430" s="1"/>
    </row>
    <row r="431" spans="1:21" ht="9.75" customHeight="1" x14ac:dyDescent="0.4">
      <c r="A431" s="1"/>
      <c r="B431" s="1"/>
      <c r="C431" s="220"/>
      <c r="D431" s="17" t="s">
        <v>311</v>
      </c>
      <c r="E431" s="17"/>
      <c r="F431" s="32"/>
      <c r="G431" s="6"/>
      <c r="H431" s="6"/>
      <c r="I431" s="6"/>
      <c r="J431" s="6"/>
      <c r="K431" s="192"/>
      <c r="L431" s="192"/>
      <c r="M431" s="192"/>
      <c r="N431" s="192"/>
      <c r="O431" s="193"/>
      <c r="P431" s="32"/>
      <c r="Q431" s="6"/>
      <c r="R431" s="59"/>
      <c r="S431" s="1"/>
      <c r="T431" s="1"/>
      <c r="U431" s="1"/>
    </row>
    <row r="432" spans="1:21" ht="9.75" customHeight="1" x14ac:dyDescent="0.4">
      <c r="A432" s="1"/>
      <c r="B432" s="1"/>
      <c r="C432" s="220"/>
      <c r="D432" s="17" t="s">
        <v>312</v>
      </c>
      <c r="E432" s="17">
        <v>2</v>
      </c>
      <c r="F432" s="32">
        <v>0</v>
      </c>
      <c r="G432" s="6">
        <v>1</v>
      </c>
      <c r="H432" s="6">
        <v>1</v>
      </c>
      <c r="I432" s="6">
        <v>0</v>
      </c>
      <c r="J432" s="6">
        <v>1</v>
      </c>
      <c r="K432" s="74">
        <v>0</v>
      </c>
      <c r="L432" s="74">
        <v>0</v>
      </c>
      <c r="M432" s="74">
        <v>0</v>
      </c>
      <c r="N432" s="74">
        <v>1</v>
      </c>
      <c r="O432" s="123">
        <v>2</v>
      </c>
      <c r="P432" s="32">
        <f t="shared" ref="P432:P434" si="49">MIN(F432:O432)</f>
        <v>0</v>
      </c>
      <c r="Q432" s="6">
        <f t="shared" ref="Q432:Q434" si="50">E432-P432</f>
        <v>2</v>
      </c>
      <c r="R432" s="59">
        <f t="shared" ref="R432:R434" si="51">Q432/E432</f>
        <v>1</v>
      </c>
      <c r="S432" s="1"/>
      <c r="T432" s="1"/>
      <c r="U432" s="1"/>
    </row>
    <row r="433" spans="1:21" ht="9.75" customHeight="1" x14ac:dyDescent="0.4">
      <c r="A433" s="1"/>
      <c r="B433" s="1"/>
      <c r="C433" s="220"/>
      <c r="D433" s="17" t="s">
        <v>313</v>
      </c>
      <c r="E433" s="17">
        <v>2</v>
      </c>
      <c r="F433" s="32">
        <v>2</v>
      </c>
      <c r="G433" s="6">
        <v>2</v>
      </c>
      <c r="H433" s="6">
        <v>2</v>
      </c>
      <c r="I433" s="6">
        <v>2</v>
      </c>
      <c r="J433" s="6">
        <v>1</v>
      </c>
      <c r="K433" s="194">
        <v>1</v>
      </c>
      <c r="L433" s="194">
        <v>1</v>
      </c>
      <c r="M433" s="194">
        <v>2</v>
      </c>
      <c r="N433" s="194">
        <v>2</v>
      </c>
      <c r="O433" s="195">
        <v>2</v>
      </c>
      <c r="P433" s="32">
        <f t="shared" si="49"/>
        <v>1</v>
      </c>
      <c r="Q433" s="6">
        <f t="shared" si="50"/>
        <v>1</v>
      </c>
      <c r="R433" s="59">
        <f t="shared" si="51"/>
        <v>0.5</v>
      </c>
      <c r="S433" s="1"/>
      <c r="T433" s="1"/>
      <c r="U433" s="1"/>
    </row>
    <row r="434" spans="1:21" ht="9.75" customHeight="1" x14ac:dyDescent="0.4">
      <c r="A434" s="1"/>
      <c r="B434" s="1" t="s">
        <v>395</v>
      </c>
      <c r="C434" s="221"/>
      <c r="D434" s="65" t="s">
        <v>314</v>
      </c>
      <c r="E434" s="65">
        <f t="shared" ref="E434:O434" si="52">SUM(E418:E433)</f>
        <v>79</v>
      </c>
      <c r="F434" s="104">
        <f t="shared" si="52"/>
        <v>3</v>
      </c>
      <c r="G434" s="128">
        <f t="shared" si="52"/>
        <v>4</v>
      </c>
      <c r="H434" s="128">
        <f t="shared" si="52"/>
        <v>4</v>
      </c>
      <c r="I434" s="128">
        <f t="shared" si="52"/>
        <v>3</v>
      </c>
      <c r="J434" s="128">
        <f t="shared" si="52"/>
        <v>2</v>
      </c>
      <c r="K434" s="71">
        <f t="shared" si="52"/>
        <v>6</v>
      </c>
      <c r="L434" s="71">
        <f t="shared" si="52"/>
        <v>3</v>
      </c>
      <c r="M434" s="71">
        <f t="shared" si="52"/>
        <v>5</v>
      </c>
      <c r="N434" s="71">
        <f t="shared" si="52"/>
        <v>15</v>
      </c>
      <c r="O434" s="157">
        <f t="shared" si="52"/>
        <v>7</v>
      </c>
      <c r="P434" s="104">
        <f t="shared" si="49"/>
        <v>2</v>
      </c>
      <c r="Q434" s="128">
        <f t="shared" si="50"/>
        <v>77</v>
      </c>
      <c r="R434" s="72">
        <f t="shared" si="51"/>
        <v>0.97468354430379744</v>
      </c>
      <c r="S434" s="1"/>
      <c r="T434" s="1"/>
      <c r="U434" s="1"/>
    </row>
    <row r="435" spans="1:21" ht="9.75" customHeight="1" x14ac:dyDescent="0.4">
      <c r="A435" s="1"/>
      <c r="B435" s="1"/>
      <c r="C435" s="191" t="s">
        <v>55</v>
      </c>
      <c r="D435" s="191" t="s">
        <v>300</v>
      </c>
      <c r="E435" s="15"/>
      <c r="F435" s="73"/>
      <c r="G435" s="108"/>
      <c r="H435" s="108"/>
      <c r="I435" s="108"/>
      <c r="J435" s="108"/>
      <c r="K435" s="108"/>
      <c r="L435" s="108"/>
      <c r="M435" s="108"/>
      <c r="N435" s="108"/>
      <c r="O435" s="109"/>
      <c r="P435" s="73"/>
      <c r="Q435" s="108"/>
      <c r="R435" s="188"/>
      <c r="S435" s="1"/>
      <c r="T435" s="1"/>
      <c r="U435" s="1"/>
    </row>
    <row r="436" spans="1:21" ht="9.75" customHeight="1" x14ac:dyDescent="0.4">
      <c r="A436" s="1"/>
      <c r="B436" s="1"/>
      <c r="C436" s="220"/>
      <c r="D436" s="17" t="s">
        <v>301</v>
      </c>
      <c r="E436" s="17"/>
      <c r="F436" s="32"/>
      <c r="G436" s="6"/>
      <c r="H436" s="6"/>
      <c r="I436" s="6"/>
      <c r="J436" s="6"/>
      <c r="K436" s="6"/>
      <c r="L436" s="6"/>
      <c r="M436" s="6"/>
      <c r="N436" s="6"/>
      <c r="O436" s="31"/>
      <c r="P436" s="32"/>
      <c r="Q436" s="6"/>
      <c r="R436" s="59"/>
      <c r="S436" s="1"/>
      <c r="T436" s="1"/>
      <c r="U436" s="1"/>
    </row>
    <row r="437" spans="1:21" ht="9.75" customHeight="1" x14ac:dyDescent="0.4">
      <c r="A437" s="1"/>
      <c r="B437" s="1"/>
      <c r="C437" s="220"/>
      <c r="D437" s="17" t="s">
        <v>303</v>
      </c>
      <c r="E437" s="17"/>
      <c r="F437" s="32"/>
      <c r="G437" s="6"/>
      <c r="H437" s="6"/>
      <c r="I437" s="6"/>
      <c r="J437" s="6"/>
      <c r="K437" s="6"/>
      <c r="L437" s="6"/>
      <c r="M437" s="6"/>
      <c r="N437" s="6"/>
      <c r="O437" s="31"/>
      <c r="P437" s="32"/>
      <c r="Q437" s="6"/>
      <c r="R437" s="59"/>
      <c r="S437" s="1"/>
      <c r="T437" s="1"/>
      <c r="U437" s="1"/>
    </row>
    <row r="438" spans="1:21" ht="9.75" customHeight="1" x14ac:dyDescent="0.4">
      <c r="A438" s="1"/>
      <c r="B438" s="1"/>
      <c r="C438" s="220"/>
      <c r="D438" s="17" t="s">
        <v>369</v>
      </c>
      <c r="E438" s="17"/>
      <c r="F438" s="32"/>
      <c r="G438" s="6"/>
      <c r="H438" s="6"/>
      <c r="I438" s="6"/>
      <c r="J438" s="6"/>
      <c r="K438" s="74"/>
      <c r="L438" s="74"/>
      <c r="M438" s="74"/>
      <c r="N438" s="74"/>
      <c r="O438" s="123"/>
      <c r="P438" s="32"/>
      <c r="Q438" s="6"/>
      <c r="R438" s="59"/>
      <c r="S438" s="1"/>
      <c r="T438" s="1"/>
      <c r="U438" s="1"/>
    </row>
    <row r="439" spans="1:21" ht="9.75" customHeight="1" x14ac:dyDescent="0.4">
      <c r="A439" s="1"/>
      <c r="B439" s="1"/>
      <c r="C439" s="220"/>
      <c r="D439" s="17" t="s">
        <v>369</v>
      </c>
      <c r="E439" s="17"/>
      <c r="F439" s="32"/>
      <c r="G439" s="6"/>
      <c r="H439" s="6"/>
      <c r="I439" s="6"/>
      <c r="J439" s="6"/>
      <c r="K439" s="192"/>
      <c r="L439" s="192"/>
      <c r="M439" s="192"/>
      <c r="N439" s="192"/>
      <c r="O439" s="193"/>
      <c r="P439" s="32"/>
      <c r="Q439" s="6"/>
      <c r="R439" s="59"/>
      <c r="S439" s="1"/>
      <c r="T439" s="1"/>
      <c r="U439" s="1"/>
    </row>
    <row r="440" spans="1:21" ht="9.75" customHeight="1" x14ac:dyDescent="0.4">
      <c r="A440" s="1"/>
      <c r="B440" s="1"/>
      <c r="C440" s="220"/>
      <c r="D440" s="17" t="s">
        <v>308</v>
      </c>
      <c r="E440" s="17">
        <v>4</v>
      </c>
      <c r="F440" s="32">
        <v>2</v>
      </c>
      <c r="G440" s="6">
        <v>2</v>
      </c>
      <c r="H440" s="6">
        <v>1</v>
      </c>
      <c r="I440" s="6">
        <v>3</v>
      </c>
      <c r="J440" s="6">
        <v>3</v>
      </c>
      <c r="K440" s="6">
        <v>3</v>
      </c>
      <c r="L440" s="6">
        <v>3</v>
      </c>
      <c r="M440" s="6">
        <v>3</v>
      </c>
      <c r="N440" s="6">
        <v>2</v>
      </c>
      <c r="O440" s="6">
        <v>1</v>
      </c>
      <c r="P440" s="32">
        <f>MIN(F440:O440)</f>
        <v>1</v>
      </c>
      <c r="Q440" s="6">
        <f>E440-P440</f>
        <v>3</v>
      </c>
      <c r="R440" s="59">
        <f>Q440/E440</f>
        <v>0.75</v>
      </c>
      <c r="S440" s="1"/>
      <c r="T440" s="1"/>
      <c r="U440" s="1"/>
    </row>
    <row r="441" spans="1:21" ht="9.75" customHeight="1" x14ac:dyDescent="0.4">
      <c r="A441" s="1"/>
      <c r="B441" s="1"/>
      <c r="C441" s="220"/>
      <c r="D441" s="17" t="s">
        <v>374</v>
      </c>
      <c r="E441" s="17"/>
      <c r="F441" s="32"/>
      <c r="G441" s="6"/>
      <c r="H441" s="6"/>
      <c r="I441" s="6"/>
      <c r="J441" s="6"/>
      <c r="K441" s="6"/>
      <c r="L441" s="6"/>
      <c r="M441" s="6"/>
      <c r="N441" s="6"/>
      <c r="O441" s="6"/>
      <c r="P441" s="32"/>
      <c r="Q441" s="6"/>
      <c r="R441" s="59"/>
      <c r="S441" s="1"/>
      <c r="T441" s="1"/>
      <c r="U441" s="1"/>
    </row>
    <row r="442" spans="1:21" ht="9.75" customHeight="1" x14ac:dyDescent="0.4">
      <c r="A442" s="1"/>
      <c r="B442" s="1"/>
      <c r="C442" s="220"/>
      <c r="D442" s="17" t="s">
        <v>374</v>
      </c>
      <c r="E442" s="17"/>
      <c r="F442" s="32"/>
      <c r="G442" s="6"/>
      <c r="H442" s="6"/>
      <c r="I442" s="6"/>
      <c r="J442" s="6"/>
      <c r="K442" s="6"/>
      <c r="L442" s="6"/>
      <c r="M442" s="6"/>
      <c r="N442" s="6"/>
      <c r="O442" s="6"/>
      <c r="P442" s="32"/>
      <c r="Q442" s="6"/>
      <c r="R442" s="59"/>
      <c r="S442" s="1"/>
      <c r="T442" s="1"/>
      <c r="U442" s="1"/>
    </row>
    <row r="443" spans="1:21" ht="9.75" customHeight="1" x14ac:dyDescent="0.4">
      <c r="A443" s="1"/>
      <c r="B443" s="1"/>
      <c r="C443" s="220"/>
      <c r="D443" s="17" t="s">
        <v>374</v>
      </c>
      <c r="E443" s="17"/>
      <c r="F443" s="32"/>
      <c r="G443" s="6"/>
      <c r="H443" s="6"/>
      <c r="I443" s="6"/>
      <c r="J443" s="6"/>
      <c r="K443" s="6"/>
      <c r="L443" s="6"/>
      <c r="M443" s="6"/>
      <c r="N443" s="6"/>
      <c r="O443" s="6"/>
      <c r="P443" s="32"/>
      <c r="Q443" s="6"/>
      <c r="R443" s="59"/>
      <c r="S443" s="1"/>
      <c r="T443" s="1"/>
      <c r="U443" s="1"/>
    </row>
    <row r="444" spans="1:21" ht="9.75" customHeight="1" x14ac:dyDescent="0.4">
      <c r="A444" s="1"/>
      <c r="B444" s="1"/>
      <c r="C444" s="220"/>
      <c r="D444" s="17" t="s">
        <v>374</v>
      </c>
      <c r="E444" s="17"/>
      <c r="F444" s="32"/>
      <c r="G444" s="6"/>
      <c r="H444" s="6"/>
      <c r="I444" s="6"/>
      <c r="J444" s="6"/>
      <c r="K444" s="6"/>
      <c r="L444" s="6"/>
      <c r="M444" s="6"/>
      <c r="N444" s="6"/>
      <c r="O444" s="6"/>
      <c r="P444" s="32"/>
      <c r="Q444" s="6"/>
      <c r="R444" s="59"/>
      <c r="S444" s="1"/>
      <c r="T444" s="1"/>
      <c r="U444" s="1"/>
    </row>
    <row r="445" spans="1:21" ht="9.75" customHeight="1" x14ac:dyDescent="0.4">
      <c r="A445" s="1"/>
      <c r="B445" s="1"/>
      <c r="C445" s="220"/>
      <c r="D445" s="17" t="s">
        <v>374</v>
      </c>
      <c r="E445" s="17"/>
      <c r="F445" s="32"/>
      <c r="G445" s="6"/>
      <c r="H445" s="6"/>
      <c r="I445" s="6"/>
      <c r="J445" s="6"/>
      <c r="K445" s="6"/>
      <c r="L445" s="6"/>
      <c r="M445" s="6"/>
      <c r="N445" s="6"/>
      <c r="O445" s="6"/>
      <c r="P445" s="32"/>
      <c r="Q445" s="6"/>
      <c r="R445" s="59"/>
      <c r="S445" s="1"/>
      <c r="T445" s="1"/>
      <c r="U445" s="1"/>
    </row>
    <row r="446" spans="1:21" ht="9.75" customHeight="1" x14ac:dyDescent="0.4">
      <c r="A446" s="1"/>
      <c r="B446" s="1"/>
      <c r="C446" s="220"/>
      <c r="D446" s="17" t="s">
        <v>374</v>
      </c>
      <c r="E446" s="17"/>
      <c r="F446" s="32"/>
      <c r="G446" s="6"/>
      <c r="H446" s="6"/>
      <c r="I446" s="6"/>
      <c r="J446" s="6"/>
      <c r="K446" s="6"/>
      <c r="L446" s="6"/>
      <c r="M446" s="6"/>
      <c r="N446" s="6"/>
      <c r="O446" s="6"/>
      <c r="P446" s="32"/>
      <c r="Q446" s="6"/>
      <c r="R446" s="59"/>
      <c r="S446" s="1"/>
      <c r="T446" s="1"/>
      <c r="U446" s="1"/>
    </row>
    <row r="447" spans="1:21" ht="9.75" customHeight="1" x14ac:dyDescent="0.4">
      <c r="A447" s="1"/>
      <c r="B447" s="1"/>
      <c r="C447" s="220"/>
      <c r="D447" s="17" t="s">
        <v>310</v>
      </c>
      <c r="E447" s="282">
        <v>3</v>
      </c>
      <c r="F447" s="32">
        <v>3</v>
      </c>
      <c r="G447" s="6">
        <v>3</v>
      </c>
      <c r="H447" s="6">
        <v>3</v>
      </c>
      <c r="I447" s="6">
        <v>2</v>
      </c>
      <c r="J447" s="6">
        <v>2</v>
      </c>
      <c r="K447" s="6">
        <v>2</v>
      </c>
      <c r="L447" s="6">
        <v>3</v>
      </c>
      <c r="M447" s="6">
        <v>3</v>
      </c>
      <c r="N447" s="6">
        <v>2</v>
      </c>
      <c r="O447" s="6">
        <v>2</v>
      </c>
      <c r="P447" s="32">
        <f t="shared" ref="P447:P448" si="53">MIN(F447:O447)</f>
        <v>2</v>
      </c>
      <c r="Q447" s="6">
        <f t="shared" ref="Q447:Q448" si="54">E447-P447</f>
        <v>1</v>
      </c>
      <c r="R447" s="59">
        <f t="shared" ref="R447:R448" si="55">Q447/E447</f>
        <v>0.33333333333333331</v>
      </c>
      <c r="S447" s="1"/>
      <c r="T447" s="1"/>
      <c r="U447" s="1"/>
    </row>
    <row r="448" spans="1:21" ht="9.75" customHeight="1" x14ac:dyDescent="0.4">
      <c r="A448" s="1"/>
      <c r="B448" s="1"/>
      <c r="C448" s="17"/>
      <c r="D448" s="17" t="s">
        <v>311</v>
      </c>
      <c r="E448" s="17">
        <v>3</v>
      </c>
      <c r="F448" s="32">
        <v>3</v>
      </c>
      <c r="G448" s="6">
        <v>3</v>
      </c>
      <c r="H448" s="6">
        <v>3</v>
      </c>
      <c r="I448" s="6">
        <v>2</v>
      </c>
      <c r="J448" s="6">
        <v>3</v>
      </c>
      <c r="K448" s="6">
        <v>2</v>
      </c>
      <c r="L448" s="6">
        <v>2</v>
      </c>
      <c r="M448" s="6">
        <v>2</v>
      </c>
      <c r="N448" s="6">
        <v>3</v>
      </c>
      <c r="O448" s="6">
        <v>3</v>
      </c>
      <c r="P448" s="32">
        <f t="shared" si="53"/>
        <v>2</v>
      </c>
      <c r="Q448" s="6">
        <f t="shared" si="54"/>
        <v>1</v>
      </c>
      <c r="R448" s="59">
        <f t="shared" si="55"/>
        <v>0.33333333333333331</v>
      </c>
      <c r="S448" s="1"/>
      <c r="T448" s="1"/>
      <c r="U448" s="1"/>
    </row>
    <row r="449" spans="1:21" ht="9.75" customHeight="1" x14ac:dyDescent="0.4">
      <c r="A449" s="1"/>
      <c r="B449" s="1"/>
      <c r="C449" s="17"/>
      <c r="D449" s="17" t="s">
        <v>312</v>
      </c>
      <c r="E449" s="17"/>
      <c r="F449" s="32"/>
      <c r="G449" s="6"/>
      <c r="H449" s="6"/>
      <c r="I449" s="6"/>
      <c r="J449" s="6"/>
      <c r="K449" s="74"/>
      <c r="L449" s="74"/>
      <c r="M449" s="74"/>
      <c r="N449" s="74"/>
      <c r="O449" s="123"/>
      <c r="P449" s="32"/>
      <c r="Q449" s="6"/>
      <c r="R449" s="59"/>
      <c r="S449" s="1"/>
      <c r="T449" s="1"/>
      <c r="U449" s="1"/>
    </row>
    <row r="450" spans="1:21" ht="9.75" customHeight="1" x14ac:dyDescent="0.4">
      <c r="A450" s="1"/>
      <c r="B450" s="1"/>
      <c r="C450" s="17"/>
      <c r="D450" s="17" t="s">
        <v>313</v>
      </c>
      <c r="E450" s="17">
        <v>4</v>
      </c>
      <c r="F450" s="32">
        <v>4</v>
      </c>
      <c r="G450" s="6">
        <v>4</v>
      </c>
      <c r="H450" s="6">
        <v>2</v>
      </c>
      <c r="I450" s="6">
        <v>1</v>
      </c>
      <c r="J450" s="6">
        <v>2</v>
      </c>
      <c r="K450" s="6">
        <v>0</v>
      </c>
      <c r="L450" s="6">
        <v>3</v>
      </c>
      <c r="M450" s="6">
        <v>2</v>
      </c>
      <c r="N450" s="6">
        <v>2</v>
      </c>
      <c r="O450" s="6">
        <v>3</v>
      </c>
      <c r="P450" s="32">
        <f t="shared" ref="P450:P451" si="56">MIN(F450:O450)</f>
        <v>0</v>
      </c>
      <c r="Q450" s="6">
        <f t="shared" ref="Q450:Q451" si="57">E450-P450</f>
        <v>4</v>
      </c>
      <c r="R450" s="59">
        <f t="shared" ref="R450:R451" si="58">Q450/E450</f>
        <v>1</v>
      </c>
      <c r="S450" s="1"/>
      <c r="T450" s="1"/>
      <c r="U450" s="1"/>
    </row>
    <row r="451" spans="1:21" ht="9.75" customHeight="1" x14ac:dyDescent="0.4">
      <c r="A451" s="1"/>
      <c r="B451" s="1" t="s">
        <v>395</v>
      </c>
      <c r="C451" s="34"/>
      <c r="D451" s="65" t="s">
        <v>314</v>
      </c>
      <c r="E451" s="65">
        <f t="shared" ref="E451:O451" si="59">SUM(E435:E450)</f>
        <v>14</v>
      </c>
      <c r="F451" s="104">
        <f t="shared" si="59"/>
        <v>12</v>
      </c>
      <c r="G451" s="128">
        <f t="shared" si="59"/>
        <v>12</v>
      </c>
      <c r="H451" s="128">
        <f t="shared" si="59"/>
        <v>9</v>
      </c>
      <c r="I451" s="128">
        <f t="shared" si="59"/>
        <v>8</v>
      </c>
      <c r="J451" s="128">
        <f t="shared" si="59"/>
        <v>10</v>
      </c>
      <c r="K451" s="128">
        <f t="shared" si="59"/>
        <v>7</v>
      </c>
      <c r="L451" s="128">
        <f t="shared" si="59"/>
        <v>11</v>
      </c>
      <c r="M451" s="128">
        <f t="shared" si="59"/>
        <v>10</v>
      </c>
      <c r="N451" s="128">
        <f t="shared" si="59"/>
        <v>9</v>
      </c>
      <c r="O451" s="129">
        <f t="shared" si="59"/>
        <v>9</v>
      </c>
      <c r="P451" s="104">
        <f t="shared" si="56"/>
        <v>7</v>
      </c>
      <c r="Q451" s="128">
        <f t="shared" si="57"/>
        <v>7</v>
      </c>
      <c r="R451" s="72">
        <f t="shared" si="58"/>
        <v>0.5</v>
      </c>
      <c r="S451" s="1"/>
      <c r="T451" s="1"/>
      <c r="U451" s="1"/>
    </row>
    <row r="452" spans="1:21" ht="9.75" customHeight="1" x14ac:dyDescent="0.4">
      <c r="A452" s="1"/>
      <c r="B452" s="1"/>
      <c r="C452" s="15" t="s">
        <v>112</v>
      </c>
      <c r="D452" s="15" t="s">
        <v>300</v>
      </c>
      <c r="E452" s="15"/>
      <c r="F452" s="73"/>
      <c r="G452" s="108"/>
      <c r="H452" s="108"/>
      <c r="I452" s="108"/>
      <c r="J452" s="108"/>
      <c r="K452" s="108"/>
      <c r="L452" s="108"/>
      <c r="M452" s="108"/>
      <c r="N452" s="108"/>
      <c r="O452" s="109"/>
      <c r="P452" s="73"/>
      <c r="Q452" s="108"/>
      <c r="R452" s="188"/>
      <c r="S452" s="1"/>
      <c r="T452" s="1"/>
      <c r="U452" s="1"/>
    </row>
    <row r="453" spans="1:21" ht="9.75" customHeight="1" x14ac:dyDescent="0.4">
      <c r="A453" s="1"/>
      <c r="B453" s="1"/>
      <c r="C453" s="17"/>
      <c r="D453" s="17" t="s">
        <v>301</v>
      </c>
      <c r="E453" s="17">
        <v>94</v>
      </c>
      <c r="F453" s="32">
        <f>E453-34</f>
        <v>60</v>
      </c>
      <c r="G453" s="6">
        <v>6</v>
      </c>
      <c r="H453" s="6">
        <v>0</v>
      </c>
      <c r="I453" s="6">
        <v>3</v>
      </c>
      <c r="J453" s="6">
        <v>1</v>
      </c>
      <c r="K453" s="74">
        <v>0</v>
      </c>
      <c r="L453" s="74">
        <v>0</v>
      </c>
      <c r="M453" s="74">
        <v>3</v>
      </c>
      <c r="N453" s="74">
        <f>E453-61</f>
        <v>33</v>
      </c>
      <c r="O453" s="123">
        <f>E453-24</f>
        <v>70</v>
      </c>
      <c r="P453" s="32">
        <f>MIN(F453:O453)</f>
        <v>0</v>
      </c>
      <c r="Q453" s="6">
        <f>E453-P453</f>
        <v>94</v>
      </c>
      <c r="R453" s="59">
        <f>Q453/E453</f>
        <v>1</v>
      </c>
      <c r="S453" s="1"/>
      <c r="T453" s="1"/>
      <c r="U453" s="1"/>
    </row>
    <row r="454" spans="1:21" ht="9.75" customHeight="1" x14ac:dyDescent="0.4">
      <c r="A454" s="1"/>
      <c r="B454" s="1"/>
      <c r="C454" s="17"/>
      <c r="D454" s="17" t="s">
        <v>303</v>
      </c>
      <c r="E454" s="17"/>
      <c r="F454" s="32"/>
      <c r="G454" s="6"/>
      <c r="H454" s="6"/>
      <c r="I454" s="6"/>
      <c r="J454" s="6"/>
      <c r="K454" s="192"/>
      <c r="L454" s="192"/>
      <c r="M454" s="192"/>
      <c r="N454" s="192"/>
      <c r="O454" s="193"/>
      <c r="P454" s="32"/>
      <c r="Q454" s="6"/>
      <c r="R454" s="59"/>
      <c r="S454" s="1"/>
      <c r="T454" s="1"/>
      <c r="U454" s="1"/>
    </row>
    <row r="455" spans="1:21" ht="9.75" customHeight="1" x14ac:dyDescent="0.4">
      <c r="A455" s="1"/>
      <c r="B455" s="1"/>
      <c r="C455" s="17"/>
      <c r="D455" s="17" t="s">
        <v>369</v>
      </c>
      <c r="E455" s="17"/>
      <c r="F455" s="32"/>
      <c r="G455" s="6"/>
      <c r="H455" s="6"/>
      <c r="I455" s="6"/>
      <c r="J455" s="6"/>
      <c r="K455" s="192"/>
      <c r="L455" s="192"/>
      <c r="M455" s="192"/>
      <c r="N455" s="192"/>
      <c r="O455" s="193"/>
      <c r="P455" s="32"/>
      <c r="Q455" s="6"/>
      <c r="R455" s="59"/>
      <c r="S455" s="1"/>
      <c r="T455" s="1"/>
      <c r="U455" s="1"/>
    </row>
    <row r="456" spans="1:21" ht="9.75" customHeight="1" x14ac:dyDescent="0.4">
      <c r="A456" s="1"/>
      <c r="B456" s="1"/>
      <c r="C456" s="17"/>
      <c r="D456" s="17" t="s">
        <v>369</v>
      </c>
      <c r="E456" s="17"/>
      <c r="F456" s="32"/>
      <c r="G456" s="6"/>
      <c r="H456" s="6"/>
      <c r="I456" s="6"/>
      <c r="J456" s="6"/>
      <c r="K456" s="192"/>
      <c r="L456" s="192"/>
      <c r="M456" s="192"/>
      <c r="N456" s="192"/>
      <c r="O456" s="193"/>
      <c r="P456" s="32"/>
      <c r="Q456" s="6"/>
      <c r="R456" s="59"/>
      <c r="S456" s="1"/>
      <c r="T456" s="1"/>
      <c r="U456" s="1"/>
    </row>
    <row r="457" spans="1:21" ht="9.75" customHeight="1" x14ac:dyDescent="0.4">
      <c r="A457" s="1"/>
      <c r="B457" s="1"/>
      <c r="C457" s="17"/>
      <c r="D457" s="17" t="s">
        <v>308</v>
      </c>
      <c r="E457" s="17">
        <v>1</v>
      </c>
      <c r="F457" s="32">
        <v>0</v>
      </c>
      <c r="G457" s="6">
        <v>0</v>
      </c>
      <c r="H457" s="6">
        <v>0</v>
      </c>
      <c r="I457" s="6">
        <v>0</v>
      </c>
      <c r="J457" s="6">
        <v>0</v>
      </c>
      <c r="K457" s="74">
        <v>0</v>
      </c>
      <c r="L457" s="74">
        <v>0</v>
      </c>
      <c r="M457" s="74">
        <v>0</v>
      </c>
      <c r="N457" s="74">
        <v>0</v>
      </c>
      <c r="O457" s="123">
        <v>0</v>
      </c>
      <c r="P457" s="32">
        <f t="shared" ref="P457:P459" si="60">MIN(F457:O457)</f>
        <v>0</v>
      </c>
      <c r="Q457" s="6">
        <f t="shared" ref="Q457:Q459" si="61">E457-P457</f>
        <v>1</v>
      </c>
      <c r="R457" s="59">
        <f t="shared" ref="R457:R459" si="62">Q457/E457</f>
        <v>1</v>
      </c>
      <c r="S457" s="1"/>
      <c r="T457" s="1"/>
      <c r="U457" s="1"/>
    </row>
    <row r="458" spans="1:21" ht="9.75" customHeight="1" x14ac:dyDescent="0.4">
      <c r="A458" s="1"/>
      <c r="B458" s="1"/>
      <c r="C458" s="17"/>
      <c r="D458" s="17" t="s">
        <v>411</v>
      </c>
      <c r="E458" s="17">
        <v>3</v>
      </c>
      <c r="F458" s="32">
        <v>3</v>
      </c>
      <c r="G458" s="6">
        <v>3</v>
      </c>
      <c r="H458" s="6">
        <v>3</v>
      </c>
      <c r="I458" s="6">
        <v>3</v>
      </c>
      <c r="J458" s="6">
        <v>3</v>
      </c>
      <c r="K458" s="74">
        <v>3</v>
      </c>
      <c r="L458" s="74">
        <v>3</v>
      </c>
      <c r="M458" s="74">
        <v>3</v>
      </c>
      <c r="N458" s="74">
        <v>3</v>
      </c>
      <c r="O458" s="123">
        <v>3</v>
      </c>
      <c r="P458" s="32">
        <f t="shared" si="60"/>
        <v>3</v>
      </c>
      <c r="Q458" s="6">
        <f t="shared" si="61"/>
        <v>0</v>
      </c>
      <c r="R458" s="59">
        <f t="shared" si="62"/>
        <v>0</v>
      </c>
      <c r="S458" s="1"/>
      <c r="T458" s="1"/>
      <c r="U458" s="1"/>
    </row>
    <row r="459" spans="1:21" ht="9.75" customHeight="1" x14ac:dyDescent="0.4">
      <c r="A459" s="1"/>
      <c r="B459" s="1"/>
      <c r="C459" s="17"/>
      <c r="D459" s="17" t="s">
        <v>423</v>
      </c>
      <c r="E459" s="17">
        <v>2</v>
      </c>
      <c r="F459" s="32">
        <v>1</v>
      </c>
      <c r="G459" s="6">
        <v>0</v>
      </c>
      <c r="H459" s="6">
        <v>0</v>
      </c>
      <c r="I459" s="6">
        <v>0</v>
      </c>
      <c r="J459" s="6">
        <v>1</v>
      </c>
      <c r="K459" s="74">
        <v>1</v>
      </c>
      <c r="L459" s="74">
        <v>1</v>
      </c>
      <c r="M459" s="74">
        <v>1</v>
      </c>
      <c r="N459" s="74">
        <v>1</v>
      </c>
      <c r="O459" s="123">
        <v>0</v>
      </c>
      <c r="P459" s="32">
        <f t="shared" si="60"/>
        <v>0</v>
      </c>
      <c r="Q459" s="6">
        <f t="shared" si="61"/>
        <v>2</v>
      </c>
      <c r="R459" s="59">
        <f t="shared" si="62"/>
        <v>1</v>
      </c>
      <c r="S459" s="1"/>
      <c r="T459" s="1"/>
      <c r="U459" s="1"/>
    </row>
    <row r="460" spans="1:21" ht="9.75" customHeight="1" x14ac:dyDescent="0.4">
      <c r="A460" s="1"/>
      <c r="B460" s="1"/>
      <c r="C460" s="17"/>
      <c r="D460" s="17" t="s">
        <v>374</v>
      </c>
      <c r="E460" s="17"/>
      <c r="F460" s="32"/>
      <c r="G460" s="6"/>
      <c r="H460" s="6"/>
      <c r="I460" s="6"/>
      <c r="J460" s="6"/>
      <c r="K460" s="192"/>
      <c r="L460" s="192"/>
      <c r="M460" s="192"/>
      <c r="N460" s="192"/>
      <c r="O460" s="193"/>
      <c r="P460" s="32"/>
      <c r="Q460" s="6"/>
      <c r="R460" s="59"/>
      <c r="S460" s="1"/>
      <c r="T460" s="1"/>
      <c r="U460" s="1"/>
    </row>
    <row r="461" spans="1:21" ht="9.75" customHeight="1" x14ac:dyDescent="0.4">
      <c r="A461" s="1"/>
      <c r="B461" s="1"/>
      <c r="C461" s="17"/>
      <c r="D461" s="17" t="s">
        <v>374</v>
      </c>
      <c r="E461" s="17"/>
      <c r="F461" s="32"/>
      <c r="G461" s="6"/>
      <c r="H461" s="6"/>
      <c r="I461" s="6"/>
      <c r="J461" s="6"/>
      <c r="K461" s="192"/>
      <c r="L461" s="192"/>
      <c r="M461" s="192"/>
      <c r="N461" s="192"/>
      <c r="O461" s="193"/>
      <c r="P461" s="32"/>
      <c r="Q461" s="6"/>
      <c r="R461" s="59"/>
      <c r="S461" s="1"/>
      <c r="T461" s="1"/>
      <c r="U461" s="1"/>
    </row>
    <row r="462" spans="1:21" ht="9.75" customHeight="1" x14ac:dyDescent="0.4">
      <c r="A462" s="1"/>
      <c r="B462" s="1"/>
      <c r="C462" s="17"/>
      <c r="D462" s="17" t="s">
        <v>374</v>
      </c>
      <c r="E462" s="17"/>
      <c r="F462" s="32"/>
      <c r="G462" s="6"/>
      <c r="H462" s="6"/>
      <c r="I462" s="6"/>
      <c r="J462" s="6"/>
      <c r="K462" s="192"/>
      <c r="L462" s="192"/>
      <c r="M462" s="192"/>
      <c r="N462" s="192"/>
      <c r="O462" s="193"/>
      <c r="P462" s="32"/>
      <c r="Q462" s="6"/>
      <c r="R462" s="59"/>
      <c r="S462" s="1"/>
      <c r="T462" s="1"/>
      <c r="U462" s="1"/>
    </row>
    <row r="463" spans="1:21" ht="9.75" customHeight="1" x14ac:dyDescent="0.4">
      <c r="A463" s="1"/>
      <c r="B463" s="1"/>
      <c r="C463" s="17"/>
      <c r="D463" s="17" t="s">
        <v>374</v>
      </c>
      <c r="E463" s="17"/>
      <c r="F463" s="32"/>
      <c r="G463" s="6"/>
      <c r="H463" s="6"/>
      <c r="I463" s="6"/>
      <c r="J463" s="6"/>
      <c r="K463" s="192"/>
      <c r="L463" s="192"/>
      <c r="M463" s="192"/>
      <c r="N463" s="192"/>
      <c r="O463" s="193"/>
      <c r="P463" s="32"/>
      <c r="Q463" s="6"/>
      <c r="R463" s="59"/>
      <c r="S463" s="1"/>
      <c r="T463" s="1"/>
      <c r="U463" s="1"/>
    </row>
    <row r="464" spans="1:21" ht="9.75" customHeight="1" x14ac:dyDescent="0.4">
      <c r="A464" s="1"/>
      <c r="B464" s="1"/>
      <c r="C464" s="17"/>
      <c r="D464" s="17" t="s">
        <v>310</v>
      </c>
      <c r="E464" s="17">
        <v>3</v>
      </c>
      <c r="F464" s="32">
        <v>2</v>
      </c>
      <c r="G464" s="6">
        <v>2</v>
      </c>
      <c r="H464" s="6">
        <v>2</v>
      </c>
      <c r="I464" s="6">
        <v>2</v>
      </c>
      <c r="J464" s="6">
        <v>2</v>
      </c>
      <c r="K464" s="74">
        <v>2</v>
      </c>
      <c r="L464" s="74">
        <v>2</v>
      </c>
      <c r="M464" s="74">
        <v>2</v>
      </c>
      <c r="N464" s="74">
        <v>2</v>
      </c>
      <c r="O464" s="123">
        <v>2</v>
      </c>
      <c r="P464" s="32">
        <f>MIN(F464:O464)</f>
        <v>2</v>
      </c>
      <c r="Q464" s="6">
        <f>E464-P464</f>
        <v>1</v>
      </c>
      <c r="R464" s="59">
        <f>Q464/E464</f>
        <v>0.33333333333333331</v>
      </c>
      <c r="S464" s="1"/>
      <c r="T464" s="1"/>
      <c r="U464" s="1"/>
    </row>
    <row r="465" spans="1:21" ht="9.75" customHeight="1" x14ac:dyDescent="0.4">
      <c r="A465" s="1"/>
      <c r="B465" s="1"/>
      <c r="C465" s="17"/>
      <c r="D465" s="17" t="s">
        <v>311</v>
      </c>
      <c r="E465" s="17"/>
      <c r="F465" s="32"/>
      <c r="G465" s="6"/>
      <c r="H465" s="6"/>
      <c r="I465" s="6"/>
      <c r="J465" s="6"/>
      <c r="K465" s="192"/>
      <c r="L465" s="192"/>
      <c r="M465" s="192"/>
      <c r="N465" s="192"/>
      <c r="O465" s="193"/>
      <c r="P465" s="32"/>
      <c r="Q465" s="6"/>
      <c r="R465" s="59"/>
      <c r="S465" s="1"/>
      <c r="T465" s="1"/>
      <c r="U465" s="1"/>
    </row>
    <row r="466" spans="1:21" ht="9.75" customHeight="1" x14ac:dyDescent="0.4">
      <c r="A466" s="1"/>
      <c r="B466" s="1"/>
      <c r="C466" s="17"/>
      <c r="D466" s="17" t="s">
        <v>312</v>
      </c>
      <c r="E466" s="17">
        <v>3</v>
      </c>
      <c r="F466" s="32">
        <v>2</v>
      </c>
      <c r="G466" s="6">
        <v>2</v>
      </c>
      <c r="H466" s="6">
        <v>2</v>
      </c>
      <c r="I466" s="6">
        <v>2</v>
      </c>
      <c r="J466" s="6">
        <v>1</v>
      </c>
      <c r="K466" s="74">
        <v>1</v>
      </c>
      <c r="L466" s="74">
        <v>1</v>
      </c>
      <c r="M466" s="74">
        <v>1</v>
      </c>
      <c r="N466" s="74">
        <v>3</v>
      </c>
      <c r="O466" s="123">
        <v>3</v>
      </c>
      <c r="P466" s="32">
        <f t="shared" ref="P466:P469" si="63">MIN(F466:O466)</f>
        <v>1</v>
      </c>
      <c r="Q466" s="6">
        <f t="shared" ref="Q466:Q469" si="64">E466-P466</f>
        <v>2</v>
      </c>
      <c r="R466" s="59">
        <f t="shared" ref="R466:R469" si="65">Q466/E466</f>
        <v>0.66666666666666663</v>
      </c>
      <c r="S466" s="1"/>
      <c r="T466" s="1"/>
      <c r="U466" s="1"/>
    </row>
    <row r="467" spans="1:21" ht="9.75" customHeight="1" x14ac:dyDescent="0.4">
      <c r="A467" s="1"/>
      <c r="B467" s="1"/>
      <c r="C467" s="17"/>
      <c r="D467" s="17" t="s">
        <v>313</v>
      </c>
      <c r="E467" s="17">
        <v>3</v>
      </c>
      <c r="F467" s="32">
        <v>3</v>
      </c>
      <c r="G467" s="6">
        <v>3</v>
      </c>
      <c r="H467" s="6">
        <v>3</v>
      </c>
      <c r="I467" s="6">
        <v>3</v>
      </c>
      <c r="J467" s="6">
        <v>3</v>
      </c>
      <c r="K467" s="194">
        <v>3</v>
      </c>
      <c r="L467" s="194">
        <v>2</v>
      </c>
      <c r="M467" s="194">
        <v>3</v>
      </c>
      <c r="N467" s="194">
        <v>3</v>
      </c>
      <c r="O467" s="195">
        <v>3</v>
      </c>
      <c r="P467" s="32">
        <f t="shared" si="63"/>
        <v>2</v>
      </c>
      <c r="Q467" s="6">
        <f t="shared" si="64"/>
        <v>1</v>
      </c>
      <c r="R467" s="59">
        <f t="shared" si="65"/>
        <v>0.33333333333333331</v>
      </c>
      <c r="S467" s="1"/>
      <c r="T467" s="1"/>
      <c r="U467" s="1"/>
    </row>
    <row r="468" spans="1:21" ht="9.75" customHeight="1" x14ac:dyDescent="0.4">
      <c r="A468" s="1"/>
      <c r="B468" s="1" t="s">
        <v>395</v>
      </c>
      <c r="C468" s="34"/>
      <c r="D468" s="65" t="s">
        <v>314</v>
      </c>
      <c r="E468" s="65">
        <f t="shared" ref="E468:O468" si="66">SUM(E452:E467)</f>
        <v>109</v>
      </c>
      <c r="F468" s="104">
        <f t="shared" si="66"/>
        <v>71</v>
      </c>
      <c r="G468" s="128">
        <f t="shared" si="66"/>
        <v>16</v>
      </c>
      <c r="H468" s="128">
        <f t="shared" si="66"/>
        <v>10</v>
      </c>
      <c r="I468" s="128">
        <f t="shared" si="66"/>
        <v>13</v>
      </c>
      <c r="J468" s="128">
        <f t="shared" si="66"/>
        <v>11</v>
      </c>
      <c r="K468" s="128">
        <f t="shared" si="66"/>
        <v>10</v>
      </c>
      <c r="L468" s="128">
        <f t="shared" si="66"/>
        <v>9</v>
      </c>
      <c r="M468" s="128">
        <f t="shared" si="66"/>
        <v>13</v>
      </c>
      <c r="N468" s="128">
        <f t="shared" si="66"/>
        <v>45</v>
      </c>
      <c r="O468" s="129">
        <f t="shared" si="66"/>
        <v>81</v>
      </c>
      <c r="P468" s="104">
        <f t="shared" si="63"/>
        <v>9</v>
      </c>
      <c r="Q468" s="128">
        <f t="shared" si="64"/>
        <v>100</v>
      </c>
      <c r="R468" s="72">
        <f t="shared" si="65"/>
        <v>0.91743119266055051</v>
      </c>
      <c r="S468" s="1"/>
      <c r="T468" s="1"/>
      <c r="U468" s="1"/>
    </row>
    <row r="469" spans="1:21" ht="9.75" customHeight="1" x14ac:dyDescent="0.4">
      <c r="A469" s="1"/>
      <c r="B469" s="1"/>
      <c r="C469" s="15" t="s">
        <v>129</v>
      </c>
      <c r="D469" s="15" t="s">
        <v>300</v>
      </c>
      <c r="E469" s="17">
        <v>30</v>
      </c>
      <c r="F469" s="32">
        <f>E469-5</f>
        <v>25</v>
      </c>
      <c r="G469" s="6">
        <v>0</v>
      </c>
      <c r="H469" s="6">
        <v>0</v>
      </c>
      <c r="I469" s="6">
        <v>1</v>
      </c>
      <c r="J469" s="6">
        <v>0</v>
      </c>
      <c r="K469" s="6">
        <v>0</v>
      </c>
      <c r="L469" s="6">
        <v>6</v>
      </c>
      <c r="M469" s="6">
        <v>10</v>
      </c>
      <c r="N469" s="6">
        <f>E469-11</f>
        <v>19</v>
      </c>
      <c r="O469" s="31">
        <f>E469-7</f>
        <v>23</v>
      </c>
      <c r="P469" s="32">
        <f t="shared" si="63"/>
        <v>0</v>
      </c>
      <c r="Q469" s="6">
        <f t="shared" si="64"/>
        <v>30</v>
      </c>
      <c r="R469" s="59">
        <f t="shared" si="65"/>
        <v>1</v>
      </c>
      <c r="S469" s="1"/>
      <c r="T469" s="1"/>
      <c r="U469" s="1"/>
    </row>
    <row r="470" spans="1:21" ht="9.75" customHeight="1" x14ac:dyDescent="0.4">
      <c r="A470" s="1"/>
      <c r="B470" s="1"/>
      <c r="C470" s="17"/>
      <c r="D470" s="17" t="s">
        <v>301</v>
      </c>
      <c r="E470" s="17"/>
      <c r="F470" s="32"/>
      <c r="G470" s="6"/>
      <c r="H470" s="6"/>
      <c r="I470" s="6"/>
      <c r="J470" s="6"/>
      <c r="K470" s="6"/>
      <c r="L470" s="6"/>
      <c r="M470" s="6"/>
      <c r="N470" s="6"/>
      <c r="O470" s="31"/>
      <c r="P470" s="32"/>
      <c r="Q470" s="6"/>
      <c r="R470" s="59"/>
      <c r="S470" s="1"/>
      <c r="T470" s="1"/>
      <c r="U470" s="1"/>
    </row>
    <row r="471" spans="1:21" ht="9.75" customHeight="1" x14ac:dyDescent="0.4">
      <c r="A471" s="1"/>
      <c r="B471" s="1"/>
      <c r="C471" s="17"/>
      <c r="D471" s="17" t="s">
        <v>303</v>
      </c>
      <c r="E471" s="17"/>
      <c r="F471" s="32"/>
      <c r="G471" s="6"/>
      <c r="H471" s="6"/>
      <c r="I471" s="6"/>
      <c r="J471" s="6"/>
      <c r="K471" s="6"/>
      <c r="L471" s="6"/>
      <c r="M471" s="6"/>
      <c r="N471" s="6"/>
      <c r="O471" s="31"/>
      <c r="P471" s="32"/>
      <c r="Q471" s="6"/>
      <c r="R471" s="59"/>
      <c r="S471" s="1"/>
      <c r="T471" s="1"/>
      <c r="U471" s="1"/>
    </row>
    <row r="472" spans="1:21" ht="9.75" customHeight="1" x14ac:dyDescent="0.4">
      <c r="A472" s="1"/>
      <c r="B472" s="1"/>
      <c r="C472" s="17"/>
      <c r="D472" s="17" t="s">
        <v>369</v>
      </c>
      <c r="E472" s="17"/>
      <c r="F472" s="32"/>
      <c r="G472" s="6"/>
      <c r="H472" s="6"/>
      <c r="I472" s="6"/>
      <c r="J472" s="6"/>
      <c r="K472" s="6"/>
      <c r="L472" s="6"/>
      <c r="M472" s="6"/>
      <c r="N472" s="6"/>
      <c r="O472" s="31"/>
      <c r="P472" s="32"/>
      <c r="Q472" s="6"/>
      <c r="R472" s="59"/>
      <c r="S472" s="1"/>
      <c r="T472" s="1"/>
      <c r="U472" s="1"/>
    </row>
    <row r="473" spans="1:21" ht="9.75" customHeight="1" x14ac:dyDescent="0.4">
      <c r="A473" s="1"/>
      <c r="B473" s="1"/>
      <c r="C473" s="17"/>
      <c r="D473" s="17" t="s">
        <v>369</v>
      </c>
      <c r="E473" s="17"/>
      <c r="F473" s="32"/>
      <c r="G473" s="6"/>
      <c r="H473" s="6"/>
      <c r="I473" s="6"/>
      <c r="J473" s="6"/>
      <c r="K473" s="6"/>
      <c r="L473" s="6"/>
      <c r="M473" s="6"/>
      <c r="N473" s="6"/>
      <c r="O473" s="31"/>
      <c r="P473" s="32"/>
      <c r="Q473" s="6"/>
      <c r="R473" s="59"/>
      <c r="S473" s="1"/>
      <c r="T473" s="1"/>
      <c r="U473" s="1"/>
    </row>
    <row r="474" spans="1:21" ht="9.75" customHeight="1" x14ac:dyDescent="0.4">
      <c r="A474" s="1"/>
      <c r="B474" s="1"/>
      <c r="C474" s="17"/>
      <c r="D474" s="17" t="s">
        <v>308</v>
      </c>
      <c r="E474" s="17">
        <v>3</v>
      </c>
      <c r="F474" s="32">
        <f>E474-2</f>
        <v>1</v>
      </c>
      <c r="G474" s="6">
        <v>1</v>
      </c>
      <c r="H474" s="6">
        <v>1</v>
      </c>
      <c r="I474" s="6">
        <v>1</v>
      </c>
      <c r="J474" s="6">
        <v>1</v>
      </c>
      <c r="K474" s="6">
        <v>3</v>
      </c>
      <c r="L474" s="6">
        <v>2</v>
      </c>
      <c r="M474" s="6">
        <v>3</v>
      </c>
      <c r="N474" s="6">
        <v>3</v>
      </c>
      <c r="O474" s="31">
        <v>3</v>
      </c>
      <c r="P474" s="32">
        <f>MIN(F474:O474)</f>
        <v>1</v>
      </c>
      <c r="Q474" s="6">
        <f>E474-P474</f>
        <v>2</v>
      </c>
      <c r="R474" s="59">
        <f>Q474/E474</f>
        <v>0.66666666666666663</v>
      </c>
      <c r="S474" s="1"/>
      <c r="T474" s="1"/>
      <c r="U474" s="1"/>
    </row>
    <row r="475" spans="1:21" ht="9.75" customHeight="1" x14ac:dyDescent="0.4">
      <c r="A475" s="1"/>
      <c r="B475" s="1"/>
      <c r="C475" s="17"/>
      <c r="D475" s="17" t="s">
        <v>374</v>
      </c>
      <c r="E475" s="17"/>
      <c r="F475" s="32"/>
      <c r="G475" s="6"/>
      <c r="H475" s="6"/>
      <c r="I475" s="6"/>
      <c r="J475" s="6"/>
      <c r="K475" s="6"/>
      <c r="L475" s="6"/>
      <c r="M475" s="6"/>
      <c r="N475" s="6"/>
      <c r="O475" s="31"/>
      <c r="P475" s="32"/>
      <c r="Q475" s="6"/>
      <c r="R475" s="59"/>
      <c r="S475" s="1"/>
      <c r="T475" s="1"/>
      <c r="U475" s="1"/>
    </row>
    <row r="476" spans="1:21" ht="9.75" customHeight="1" x14ac:dyDescent="0.4">
      <c r="A476" s="1"/>
      <c r="B476" s="1"/>
      <c r="C476" s="17"/>
      <c r="D476" s="17" t="s">
        <v>374</v>
      </c>
      <c r="E476" s="17"/>
      <c r="F476" s="32"/>
      <c r="G476" s="6"/>
      <c r="H476" s="6"/>
      <c r="I476" s="6"/>
      <c r="J476" s="6"/>
      <c r="K476" s="6"/>
      <c r="L476" s="6"/>
      <c r="M476" s="6"/>
      <c r="N476" s="6"/>
      <c r="O476" s="31"/>
      <c r="P476" s="32"/>
      <c r="Q476" s="6"/>
      <c r="R476" s="59"/>
      <c r="S476" s="1"/>
      <c r="T476" s="1"/>
      <c r="U476" s="1"/>
    </row>
    <row r="477" spans="1:21" ht="9.75" customHeight="1" x14ac:dyDescent="0.4">
      <c r="A477" s="1"/>
      <c r="B477" s="1"/>
      <c r="C477" s="17"/>
      <c r="D477" s="17" t="s">
        <v>374</v>
      </c>
      <c r="E477" s="17"/>
      <c r="F477" s="32"/>
      <c r="G477" s="6"/>
      <c r="H477" s="6"/>
      <c r="I477" s="6"/>
      <c r="J477" s="6"/>
      <c r="K477" s="6"/>
      <c r="L477" s="6"/>
      <c r="M477" s="6"/>
      <c r="N477" s="6"/>
      <c r="O477" s="31"/>
      <c r="P477" s="32"/>
      <c r="Q477" s="6"/>
      <c r="R477" s="59"/>
      <c r="S477" s="1"/>
      <c r="T477" s="1"/>
      <c r="U477" s="1"/>
    </row>
    <row r="478" spans="1:21" ht="9.75" customHeight="1" x14ac:dyDescent="0.4">
      <c r="A478" s="1"/>
      <c r="B478" s="1"/>
      <c r="C478" s="17"/>
      <c r="D478" s="17" t="s">
        <v>374</v>
      </c>
      <c r="E478" s="17"/>
      <c r="F478" s="32"/>
      <c r="G478" s="6"/>
      <c r="H478" s="6"/>
      <c r="I478" s="6"/>
      <c r="J478" s="6"/>
      <c r="K478" s="6"/>
      <c r="L478" s="6"/>
      <c r="M478" s="6"/>
      <c r="N478" s="6"/>
      <c r="O478" s="31"/>
      <c r="P478" s="32"/>
      <c r="Q478" s="6"/>
      <c r="R478" s="59"/>
      <c r="S478" s="1"/>
      <c r="T478" s="1"/>
      <c r="U478" s="1"/>
    </row>
    <row r="479" spans="1:21" ht="9.75" customHeight="1" x14ac:dyDescent="0.4">
      <c r="A479" s="1"/>
      <c r="B479" s="1"/>
      <c r="C479" s="17"/>
      <c r="D479" s="17" t="s">
        <v>374</v>
      </c>
      <c r="E479" s="17"/>
      <c r="F479" s="32"/>
      <c r="G479" s="6"/>
      <c r="H479" s="6"/>
      <c r="I479" s="6"/>
      <c r="J479" s="6"/>
      <c r="K479" s="6"/>
      <c r="L479" s="6"/>
      <c r="M479" s="6"/>
      <c r="N479" s="6"/>
      <c r="O479" s="31"/>
      <c r="P479" s="32"/>
      <c r="Q479" s="6"/>
      <c r="R479" s="59"/>
      <c r="S479" s="1"/>
      <c r="T479" s="1"/>
      <c r="U479" s="1"/>
    </row>
    <row r="480" spans="1:21" ht="9.75" customHeight="1" x14ac:dyDescent="0.4">
      <c r="A480" s="1"/>
      <c r="B480" s="1"/>
      <c r="C480" s="17"/>
      <c r="D480" s="17" t="s">
        <v>374</v>
      </c>
      <c r="E480" s="17"/>
      <c r="F480" s="32"/>
      <c r="G480" s="6"/>
      <c r="H480" s="6"/>
      <c r="I480" s="6"/>
      <c r="J480" s="6"/>
      <c r="K480" s="6"/>
      <c r="L480" s="6"/>
      <c r="M480" s="6"/>
      <c r="N480" s="6"/>
      <c r="O480" s="31"/>
      <c r="P480" s="32"/>
      <c r="Q480" s="6"/>
      <c r="R480" s="59"/>
      <c r="S480" s="1"/>
      <c r="T480" s="1"/>
      <c r="U480" s="1"/>
    </row>
    <row r="481" spans="1:21" ht="9.75" customHeight="1" x14ac:dyDescent="0.4">
      <c r="A481" s="1"/>
      <c r="B481" s="1"/>
      <c r="C481" s="220"/>
      <c r="D481" s="17" t="s">
        <v>310</v>
      </c>
      <c r="E481" s="17">
        <v>9</v>
      </c>
      <c r="F481" s="32">
        <v>9</v>
      </c>
      <c r="G481" s="6">
        <v>8</v>
      </c>
      <c r="H481" s="6">
        <v>9</v>
      </c>
      <c r="I481" s="6">
        <v>7</v>
      </c>
      <c r="J481" s="6">
        <v>5</v>
      </c>
      <c r="K481" s="6">
        <v>7</v>
      </c>
      <c r="L481" s="6">
        <v>8</v>
      </c>
      <c r="M481" s="6">
        <v>8</v>
      </c>
      <c r="N481" s="6">
        <v>9</v>
      </c>
      <c r="O481" s="31">
        <v>9</v>
      </c>
      <c r="P481" s="32">
        <f>MIN(F481:O481)</f>
        <v>5</v>
      </c>
      <c r="Q481" s="6">
        <f>E481-P481</f>
        <v>4</v>
      </c>
      <c r="R481" s="59">
        <f>Q481/E481</f>
        <v>0.44444444444444442</v>
      </c>
      <c r="S481" s="1"/>
      <c r="T481" s="1"/>
      <c r="U481" s="1"/>
    </row>
    <row r="482" spans="1:21" ht="9.75" customHeight="1" x14ac:dyDescent="0.4">
      <c r="A482" s="1"/>
      <c r="B482" s="1"/>
      <c r="C482" s="220"/>
      <c r="D482" s="17" t="s">
        <v>311</v>
      </c>
      <c r="E482" s="17"/>
      <c r="F482" s="32"/>
      <c r="G482" s="6"/>
      <c r="H482" s="6"/>
      <c r="I482" s="6"/>
      <c r="J482" s="6"/>
      <c r="K482" s="6"/>
      <c r="L482" s="6"/>
      <c r="M482" s="6"/>
      <c r="N482" s="6"/>
      <c r="O482" s="31"/>
      <c r="P482" s="32"/>
      <c r="Q482" s="6"/>
      <c r="R482" s="59"/>
      <c r="S482" s="1"/>
      <c r="T482" s="1"/>
      <c r="U482" s="1"/>
    </row>
    <row r="483" spans="1:21" ht="9.75" customHeight="1" x14ac:dyDescent="0.4">
      <c r="A483" s="1"/>
      <c r="B483" s="1"/>
      <c r="C483" s="220"/>
      <c r="D483" s="17" t="s">
        <v>312</v>
      </c>
      <c r="E483" s="17"/>
      <c r="F483" s="32"/>
      <c r="G483" s="6"/>
      <c r="H483" s="6"/>
      <c r="I483" s="6"/>
      <c r="J483" s="6"/>
      <c r="K483" s="6"/>
      <c r="L483" s="6"/>
      <c r="M483" s="6"/>
      <c r="N483" s="6"/>
      <c r="O483" s="31"/>
      <c r="P483" s="32"/>
      <c r="Q483" s="6"/>
      <c r="R483" s="59"/>
      <c r="S483" s="1"/>
      <c r="T483" s="1"/>
      <c r="U483" s="1"/>
    </row>
    <row r="484" spans="1:21" ht="9.75" customHeight="1" x14ac:dyDescent="0.4">
      <c r="A484" s="1"/>
      <c r="B484" s="1"/>
      <c r="C484" s="220"/>
      <c r="D484" s="17" t="s">
        <v>313</v>
      </c>
      <c r="E484" s="17">
        <v>1</v>
      </c>
      <c r="F484" s="32">
        <v>1</v>
      </c>
      <c r="G484" s="6">
        <v>0</v>
      </c>
      <c r="H484" s="6">
        <v>0</v>
      </c>
      <c r="I484" s="6">
        <v>1</v>
      </c>
      <c r="J484" s="6">
        <v>0</v>
      </c>
      <c r="K484" s="6">
        <v>0</v>
      </c>
      <c r="L484" s="6">
        <v>1</v>
      </c>
      <c r="M484" s="6">
        <v>1</v>
      </c>
      <c r="N484" s="6">
        <v>1</v>
      </c>
      <c r="O484" s="31">
        <v>1</v>
      </c>
      <c r="P484" s="32">
        <f t="shared" ref="P484:P485" si="67">MIN(F484:O484)</f>
        <v>0</v>
      </c>
      <c r="Q484" s="6">
        <f t="shared" ref="Q484:Q485" si="68">E484-P484</f>
        <v>1</v>
      </c>
      <c r="R484" s="59">
        <f t="shared" ref="R484:R485" si="69">Q484/E484</f>
        <v>1</v>
      </c>
      <c r="S484" s="1"/>
      <c r="T484" s="1"/>
      <c r="U484" s="1"/>
    </row>
    <row r="485" spans="1:21" ht="9.75" customHeight="1" x14ac:dyDescent="0.4">
      <c r="A485" s="1"/>
      <c r="B485" s="1" t="s">
        <v>395</v>
      </c>
      <c r="C485" s="221"/>
      <c r="D485" s="65" t="s">
        <v>314</v>
      </c>
      <c r="E485" s="65">
        <f t="shared" ref="E485:O485" si="70">SUM(E469:E484)</f>
        <v>43</v>
      </c>
      <c r="F485" s="104">
        <f t="shared" si="70"/>
        <v>36</v>
      </c>
      <c r="G485" s="128">
        <f t="shared" si="70"/>
        <v>9</v>
      </c>
      <c r="H485" s="128">
        <f t="shared" si="70"/>
        <v>10</v>
      </c>
      <c r="I485" s="128">
        <f t="shared" si="70"/>
        <v>10</v>
      </c>
      <c r="J485" s="128">
        <f t="shared" si="70"/>
        <v>6</v>
      </c>
      <c r="K485" s="128">
        <f t="shared" si="70"/>
        <v>10</v>
      </c>
      <c r="L485" s="128">
        <f t="shared" si="70"/>
        <v>17</v>
      </c>
      <c r="M485" s="128">
        <f t="shared" si="70"/>
        <v>22</v>
      </c>
      <c r="N485" s="128">
        <f t="shared" si="70"/>
        <v>32</v>
      </c>
      <c r="O485" s="129">
        <f t="shared" si="70"/>
        <v>36</v>
      </c>
      <c r="P485" s="104">
        <f t="shared" si="67"/>
        <v>6</v>
      </c>
      <c r="Q485" s="128">
        <f t="shared" si="68"/>
        <v>37</v>
      </c>
      <c r="R485" s="72">
        <f t="shared" si="69"/>
        <v>0.86046511627906974</v>
      </c>
      <c r="S485" s="1"/>
      <c r="T485" s="1"/>
      <c r="U485" s="1"/>
    </row>
    <row r="486" spans="1:21" ht="9.75" customHeight="1" x14ac:dyDescent="0.4">
      <c r="A486" s="1"/>
      <c r="B486" s="1"/>
      <c r="C486" s="191" t="s">
        <v>146</v>
      </c>
      <c r="D486" s="191" t="s">
        <v>300</v>
      </c>
      <c r="E486" s="15"/>
      <c r="F486" s="73"/>
      <c r="G486" s="108"/>
      <c r="H486" s="108"/>
      <c r="I486" s="108"/>
      <c r="J486" s="108"/>
      <c r="K486" s="108"/>
      <c r="L486" s="108"/>
      <c r="M486" s="108"/>
      <c r="N486" s="108"/>
      <c r="O486" s="109"/>
      <c r="P486" s="73"/>
      <c r="Q486" s="108"/>
      <c r="R486" s="188"/>
      <c r="S486" s="1"/>
      <c r="T486" s="1"/>
      <c r="U486" s="1"/>
    </row>
    <row r="487" spans="1:21" ht="9.75" customHeight="1" x14ac:dyDescent="0.4">
      <c r="A487" s="1"/>
      <c r="B487" s="1"/>
      <c r="C487" s="220"/>
      <c r="D487" s="17" t="s">
        <v>301</v>
      </c>
      <c r="E487" s="17"/>
      <c r="F487" s="32"/>
      <c r="G487" s="6"/>
      <c r="H487" s="6"/>
      <c r="I487" s="6"/>
      <c r="J487" s="6"/>
      <c r="K487" s="6"/>
      <c r="L487" s="6"/>
      <c r="M487" s="6"/>
      <c r="N487" s="6"/>
      <c r="O487" s="31"/>
      <c r="P487" s="32"/>
      <c r="Q487" s="6"/>
      <c r="R487" s="59"/>
      <c r="S487" s="1"/>
      <c r="T487" s="1"/>
      <c r="U487" s="1"/>
    </row>
    <row r="488" spans="1:21" ht="9.75" customHeight="1" x14ac:dyDescent="0.4">
      <c r="A488" s="1"/>
      <c r="B488" s="1"/>
      <c r="C488" s="220"/>
      <c r="D488" s="17" t="s">
        <v>303</v>
      </c>
      <c r="E488" s="17"/>
      <c r="F488" s="32"/>
      <c r="G488" s="6"/>
      <c r="H488" s="6"/>
      <c r="I488" s="6"/>
      <c r="J488" s="6"/>
      <c r="K488" s="6"/>
      <c r="L488" s="6"/>
      <c r="M488" s="6"/>
      <c r="N488" s="6"/>
      <c r="O488" s="31"/>
      <c r="P488" s="32"/>
      <c r="Q488" s="6"/>
      <c r="R488" s="59"/>
      <c r="S488" s="1"/>
      <c r="T488" s="1"/>
      <c r="U488" s="1"/>
    </row>
    <row r="489" spans="1:21" ht="9.75" customHeight="1" x14ac:dyDescent="0.4">
      <c r="A489" s="1"/>
      <c r="B489" s="1"/>
      <c r="C489" s="220"/>
      <c r="D489" s="17" t="s">
        <v>369</v>
      </c>
      <c r="E489" s="17"/>
      <c r="F489" s="32"/>
      <c r="G489" s="6"/>
      <c r="H489" s="6"/>
      <c r="I489" s="6"/>
      <c r="J489" s="6"/>
      <c r="K489" s="6"/>
      <c r="L489" s="6"/>
      <c r="M489" s="6"/>
      <c r="N489" s="6"/>
      <c r="O489" s="31"/>
      <c r="P489" s="32"/>
      <c r="Q489" s="6"/>
      <c r="R489" s="59"/>
      <c r="S489" s="1"/>
      <c r="T489" s="1"/>
      <c r="U489" s="1"/>
    </row>
    <row r="490" spans="1:21" ht="9.75" customHeight="1" x14ac:dyDescent="0.4">
      <c r="A490" s="1"/>
      <c r="B490" s="1"/>
      <c r="C490" s="220"/>
      <c r="D490" s="17" t="s">
        <v>369</v>
      </c>
      <c r="E490" s="17"/>
      <c r="F490" s="32"/>
      <c r="G490" s="6"/>
      <c r="H490" s="6"/>
      <c r="I490" s="6"/>
      <c r="J490" s="6"/>
      <c r="K490" s="6"/>
      <c r="L490" s="6"/>
      <c r="M490" s="6"/>
      <c r="N490" s="6"/>
      <c r="O490" s="31"/>
      <c r="P490" s="32"/>
      <c r="Q490" s="6"/>
      <c r="R490" s="59"/>
      <c r="S490" s="1"/>
      <c r="T490" s="1"/>
      <c r="U490" s="1"/>
    </row>
    <row r="491" spans="1:21" ht="9.75" customHeight="1" x14ac:dyDescent="0.4">
      <c r="A491" s="1"/>
      <c r="B491" s="1"/>
      <c r="C491" s="220"/>
      <c r="D491" s="17" t="s">
        <v>308</v>
      </c>
      <c r="E491" s="17"/>
      <c r="F491" s="32"/>
      <c r="G491" s="6"/>
      <c r="H491" s="6"/>
      <c r="I491" s="6"/>
      <c r="J491" s="6"/>
      <c r="K491" s="6"/>
      <c r="L491" s="6"/>
      <c r="M491" s="6"/>
      <c r="N491" s="6"/>
      <c r="O491" s="31"/>
      <c r="P491" s="32"/>
      <c r="Q491" s="6"/>
      <c r="R491" s="59"/>
      <c r="S491" s="1"/>
      <c r="T491" s="1"/>
      <c r="U491" s="1"/>
    </row>
    <row r="492" spans="1:21" ht="9.75" customHeight="1" x14ac:dyDescent="0.4">
      <c r="A492" s="1"/>
      <c r="B492" s="1"/>
      <c r="C492" s="220"/>
      <c r="D492" s="17" t="s">
        <v>374</v>
      </c>
      <c r="E492" s="17"/>
      <c r="F492" s="32"/>
      <c r="G492" s="6"/>
      <c r="H492" s="6"/>
      <c r="I492" s="6"/>
      <c r="J492" s="6"/>
      <c r="K492" s="6"/>
      <c r="L492" s="6"/>
      <c r="M492" s="6"/>
      <c r="N492" s="6"/>
      <c r="O492" s="31"/>
      <c r="P492" s="32"/>
      <c r="Q492" s="6"/>
      <c r="R492" s="59"/>
      <c r="S492" s="1"/>
      <c r="T492" s="1"/>
      <c r="U492" s="1"/>
    </row>
    <row r="493" spans="1:21" ht="9.75" customHeight="1" x14ac:dyDescent="0.4">
      <c r="A493" s="1"/>
      <c r="B493" s="1"/>
      <c r="C493" s="220"/>
      <c r="D493" s="17" t="s">
        <v>374</v>
      </c>
      <c r="E493" s="17"/>
      <c r="F493" s="32"/>
      <c r="G493" s="6"/>
      <c r="H493" s="6"/>
      <c r="I493" s="6"/>
      <c r="J493" s="6"/>
      <c r="K493" s="6"/>
      <c r="L493" s="6"/>
      <c r="M493" s="6"/>
      <c r="N493" s="6"/>
      <c r="O493" s="31"/>
      <c r="P493" s="32"/>
      <c r="Q493" s="6"/>
      <c r="R493" s="59"/>
      <c r="S493" s="1"/>
      <c r="T493" s="1"/>
      <c r="U493" s="1"/>
    </row>
    <row r="494" spans="1:21" ht="9.75" customHeight="1" x14ac:dyDescent="0.4">
      <c r="A494" s="1"/>
      <c r="B494" s="1"/>
      <c r="C494" s="220"/>
      <c r="D494" s="17" t="s">
        <v>374</v>
      </c>
      <c r="E494" s="17"/>
      <c r="F494" s="32"/>
      <c r="G494" s="6"/>
      <c r="H494" s="6"/>
      <c r="I494" s="6"/>
      <c r="J494" s="6"/>
      <c r="K494" s="6"/>
      <c r="L494" s="6"/>
      <c r="M494" s="6"/>
      <c r="N494" s="6"/>
      <c r="O494" s="31"/>
      <c r="P494" s="32"/>
      <c r="Q494" s="6"/>
      <c r="R494" s="59"/>
      <c r="S494" s="1"/>
      <c r="T494" s="1"/>
      <c r="U494" s="1"/>
    </row>
    <row r="495" spans="1:21" ht="9.75" customHeight="1" x14ac:dyDescent="0.4">
      <c r="A495" s="1"/>
      <c r="B495" s="1"/>
      <c r="C495" s="220"/>
      <c r="D495" s="17" t="s">
        <v>374</v>
      </c>
      <c r="E495" s="17"/>
      <c r="F495" s="32"/>
      <c r="G495" s="6"/>
      <c r="H495" s="6"/>
      <c r="I495" s="6"/>
      <c r="J495" s="6"/>
      <c r="K495" s="6"/>
      <c r="L495" s="6"/>
      <c r="M495" s="6"/>
      <c r="N495" s="6"/>
      <c r="O495" s="31"/>
      <c r="P495" s="32"/>
      <c r="Q495" s="6"/>
      <c r="R495" s="59"/>
      <c r="S495" s="1"/>
      <c r="T495" s="1"/>
      <c r="U495" s="1"/>
    </row>
    <row r="496" spans="1:21" ht="9.75" customHeight="1" x14ac:dyDescent="0.4">
      <c r="A496" s="1"/>
      <c r="B496" s="1"/>
      <c r="C496" s="220"/>
      <c r="D496" s="17" t="s">
        <v>374</v>
      </c>
      <c r="E496" s="17"/>
      <c r="F496" s="32"/>
      <c r="G496" s="6"/>
      <c r="H496" s="6"/>
      <c r="I496" s="6"/>
      <c r="J496" s="6"/>
      <c r="K496" s="6"/>
      <c r="L496" s="6"/>
      <c r="M496" s="6"/>
      <c r="N496" s="6"/>
      <c r="O496" s="31"/>
      <c r="P496" s="32"/>
      <c r="Q496" s="6"/>
      <c r="R496" s="59"/>
      <c r="S496" s="1"/>
      <c r="T496" s="1"/>
      <c r="U496" s="1"/>
    </row>
    <row r="497" spans="1:21" ht="9.75" customHeight="1" x14ac:dyDescent="0.4">
      <c r="A497" s="1"/>
      <c r="B497" s="1"/>
      <c r="C497" s="220"/>
      <c r="D497" s="17" t="s">
        <v>374</v>
      </c>
      <c r="E497" s="17"/>
      <c r="F497" s="32"/>
      <c r="G497" s="6"/>
      <c r="H497" s="6"/>
      <c r="I497" s="6"/>
      <c r="J497" s="6"/>
      <c r="K497" s="6"/>
      <c r="L497" s="6"/>
      <c r="M497" s="6"/>
      <c r="N497" s="6"/>
      <c r="O497" s="31"/>
      <c r="P497" s="32"/>
      <c r="Q497" s="6"/>
      <c r="R497" s="59"/>
      <c r="S497" s="1"/>
      <c r="T497" s="1"/>
      <c r="U497" s="1"/>
    </row>
    <row r="498" spans="1:21" ht="9.75" customHeight="1" x14ac:dyDescent="0.4">
      <c r="A498" s="1"/>
      <c r="B498" s="1"/>
      <c r="C498" s="220"/>
      <c r="D498" s="17" t="s">
        <v>310</v>
      </c>
      <c r="E498" s="17">
        <v>2</v>
      </c>
      <c r="F498" s="32">
        <v>2</v>
      </c>
      <c r="G498" s="6">
        <v>2</v>
      </c>
      <c r="H498" s="6">
        <v>1</v>
      </c>
      <c r="I498" s="6">
        <v>1</v>
      </c>
      <c r="J498" s="6">
        <v>1</v>
      </c>
      <c r="K498" s="74">
        <v>1</v>
      </c>
      <c r="L498" s="74">
        <v>1</v>
      </c>
      <c r="M498" s="74">
        <v>1</v>
      </c>
      <c r="N498" s="74">
        <v>1</v>
      </c>
      <c r="O498" s="123">
        <v>1</v>
      </c>
      <c r="P498" s="32">
        <f>MIN(F498:O498)</f>
        <v>1</v>
      </c>
      <c r="Q498" s="6">
        <f>E498-P498</f>
        <v>1</v>
      </c>
      <c r="R498" s="59">
        <f>Q498/E498</f>
        <v>0.5</v>
      </c>
      <c r="S498" s="1"/>
      <c r="T498" s="1"/>
      <c r="U498" s="1"/>
    </row>
    <row r="499" spans="1:21" ht="9.75" customHeight="1" x14ac:dyDescent="0.4">
      <c r="A499" s="1"/>
      <c r="B499" s="1"/>
      <c r="C499" s="220"/>
      <c r="D499" s="17" t="s">
        <v>311</v>
      </c>
      <c r="E499" s="17"/>
      <c r="F499" s="32"/>
      <c r="G499" s="6"/>
      <c r="H499" s="6"/>
      <c r="I499" s="6"/>
      <c r="J499" s="6"/>
      <c r="K499" s="192"/>
      <c r="L499" s="192"/>
      <c r="M499" s="192"/>
      <c r="N499" s="192"/>
      <c r="O499" s="193"/>
      <c r="P499" s="32"/>
      <c r="Q499" s="6"/>
      <c r="R499" s="59"/>
      <c r="S499" s="1"/>
      <c r="T499" s="1"/>
      <c r="U499" s="1"/>
    </row>
    <row r="500" spans="1:21" ht="9.75" customHeight="1" x14ac:dyDescent="0.4">
      <c r="A500" s="1"/>
      <c r="B500" s="1"/>
      <c r="C500" s="220"/>
      <c r="D500" s="17" t="s">
        <v>312</v>
      </c>
      <c r="E500" s="17"/>
      <c r="F500" s="32"/>
      <c r="G500" s="6"/>
      <c r="H500" s="6"/>
      <c r="I500" s="6"/>
      <c r="J500" s="6"/>
      <c r="K500" s="192"/>
      <c r="L500" s="192"/>
      <c r="M500" s="192"/>
      <c r="N500" s="192"/>
      <c r="O500" s="193"/>
      <c r="P500" s="32"/>
      <c r="Q500" s="6"/>
      <c r="R500" s="59"/>
      <c r="S500" s="1"/>
      <c r="T500" s="1"/>
      <c r="U500" s="1"/>
    </row>
    <row r="501" spans="1:21" ht="9.75" customHeight="1" x14ac:dyDescent="0.4">
      <c r="A501" s="1"/>
      <c r="B501" s="1"/>
      <c r="C501" s="17"/>
      <c r="D501" s="17" t="s">
        <v>313</v>
      </c>
      <c r="E501" s="17">
        <v>2</v>
      </c>
      <c r="F501" s="32">
        <v>2</v>
      </c>
      <c r="G501" s="6">
        <v>1</v>
      </c>
      <c r="H501" s="6">
        <v>2</v>
      </c>
      <c r="I501" s="6">
        <v>1</v>
      </c>
      <c r="J501" s="6">
        <v>1</v>
      </c>
      <c r="K501" s="194">
        <v>1</v>
      </c>
      <c r="L501" s="194">
        <v>2</v>
      </c>
      <c r="M501" s="194">
        <v>2</v>
      </c>
      <c r="N501" s="194">
        <v>2</v>
      </c>
      <c r="O501" s="195">
        <v>1</v>
      </c>
      <c r="P501" s="32">
        <f t="shared" ref="P501:P502" si="71">MIN(F501:O501)</f>
        <v>1</v>
      </c>
      <c r="Q501" s="6">
        <f t="shared" ref="Q501:Q502" si="72">E501-P501</f>
        <v>1</v>
      </c>
      <c r="R501" s="59">
        <f t="shared" ref="R501:R502" si="73">Q501/E501</f>
        <v>0.5</v>
      </c>
      <c r="S501" s="1"/>
      <c r="T501" s="1"/>
      <c r="U501" s="1"/>
    </row>
    <row r="502" spans="1:21" ht="9.75" customHeight="1" x14ac:dyDescent="0.4">
      <c r="A502" s="1"/>
      <c r="B502" s="1" t="s">
        <v>395</v>
      </c>
      <c r="C502" s="34"/>
      <c r="D502" s="65" t="s">
        <v>314</v>
      </c>
      <c r="E502" s="65">
        <f t="shared" ref="E502:O502" si="74">SUM(E486:E501)</f>
        <v>4</v>
      </c>
      <c r="F502" s="104">
        <f t="shared" si="74"/>
        <v>4</v>
      </c>
      <c r="G502" s="128">
        <f t="shared" si="74"/>
        <v>3</v>
      </c>
      <c r="H502" s="128">
        <f t="shared" si="74"/>
        <v>3</v>
      </c>
      <c r="I502" s="128">
        <f t="shared" si="74"/>
        <v>2</v>
      </c>
      <c r="J502" s="128">
        <f t="shared" si="74"/>
        <v>2</v>
      </c>
      <c r="K502" s="128">
        <f t="shared" si="74"/>
        <v>2</v>
      </c>
      <c r="L502" s="128">
        <f t="shared" si="74"/>
        <v>3</v>
      </c>
      <c r="M502" s="128">
        <f t="shared" si="74"/>
        <v>3</v>
      </c>
      <c r="N502" s="128">
        <f t="shared" si="74"/>
        <v>3</v>
      </c>
      <c r="O502" s="129">
        <f t="shared" si="74"/>
        <v>2</v>
      </c>
      <c r="P502" s="104">
        <f t="shared" si="71"/>
        <v>2</v>
      </c>
      <c r="Q502" s="128">
        <f t="shared" si="72"/>
        <v>2</v>
      </c>
      <c r="R502" s="72">
        <f t="shared" si="73"/>
        <v>0.5</v>
      </c>
      <c r="S502" s="1"/>
      <c r="T502" s="1"/>
      <c r="U502" s="1"/>
    </row>
    <row r="503" spans="1:21" ht="9.75" customHeight="1" x14ac:dyDescent="0.4">
      <c r="A503" s="1"/>
      <c r="B503" s="1"/>
      <c r="C503" s="15" t="s">
        <v>76</v>
      </c>
      <c r="D503" s="191" t="s">
        <v>300</v>
      </c>
      <c r="E503" s="15"/>
      <c r="F503" s="73"/>
      <c r="G503" s="108"/>
      <c r="H503" s="108"/>
      <c r="I503" s="108"/>
      <c r="J503" s="108"/>
      <c r="K503" s="108"/>
      <c r="L503" s="108"/>
      <c r="M503" s="108"/>
      <c r="N503" s="108"/>
      <c r="O503" s="109"/>
      <c r="P503" s="73"/>
      <c r="Q503" s="108"/>
      <c r="R503" s="188"/>
      <c r="S503" s="1"/>
      <c r="T503" s="1"/>
      <c r="U503" s="1"/>
    </row>
    <row r="504" spans="1:21" ht="9.75" customHeight="1" x14ac:dyDescent="0.4">
      <c r="A504" s="1"/>
      <c r="B504" s="1"/>
      <c r="C504" s="17"/>
      <c r="D504" s="17" t="s">
        <v>301</v>
      </c>
      <c r="E504" s="17"/>
      <c r="F504" s="32"/>
      <c r="G504" s="6"/>
      <c r="H504" s="6"/>
      <c r="I504" s="6"/>
      <c r="J504" s="6"/>
      <c r="K504" s="6"/>
      <c r="L504" s="6"/>
      <c r="M504" s="6"/>
      <c r="N504" s="6"/>
      <c r="O504" s="31"/>
      <c r="P504" s="32"/>
      <c r="Q504" s="6"/>
      <c r="R504" s="59"/>
      <c r="S504" s="1"/>
      <c r="T504" s="1"/>
      <c r="U504" s="1"/>
    </row>
    <row r="505" spans="1:21" ht="9.75" customHeight="1" x14ac:dyDescent="0.4">
      <c r="A505" s="1"/>
      <c r="B505" s="1"/>
      <c r="C505" s="17"/>
      <c r="D505" s="17" t="s">
        <v>303</v>
      </c>
      <c r="E505" s="17"/>
      <c r="F505" s="32"/>
      <c r="G505" s="6"/>
      <c r="H505" s="6"/>
      <c r="I505" s="6"/>
      <c r="J505" s="6"/>
      <c r="K505" s="74"/>
      <c r="L505" s="74"/>
      <c r="M505" s="74"/>
      <c r="N505" s="74"/>
      <c r="O505" s="123"/>
      <c r="P505" s="32"/>
      <c r="Q505" s="6"/>
      <c r="R505" s="59"/>
      <c r="S505" s="1"/>
      <c r="T505" s="1"/>
      <c r="U505" s="1"/>
    </row>
    <row r="506" spans="1:21" ht="9.75" customHeight="1" x14ac:dyDescent="0.4">
      <c r="A506" s="1"/>
      <c r="B506" s="1"/>
      <c r="C506" s="17"/>
      <c r="D506" s="17" t="s">
        <v>305</v>
      </c>
      <c r="E506" s="17">
        <v>228</v>
      </c>
      <c r="F506" s="32">
        <v>0</v>
      </c>
      <c r="G506" s="6">
        <v>0</v>
      </c>
      <c r="H506" s="6">
        <v>0</v>
      </c>
      <c r="I506" s="6">
        <v>0</v>
      </c>
      <c r="J506" s="6">
        <v>0</v>
      </c>
      <c r="K506" s="74">
        <v>0</v>
      </c>
      <c r="L506" s="74">
        <v>0</v>
      </c>
      <c r="M506" s="74">
        <v>3</v>
      </c>
      <c r="N506" s="74">
        <v>1</v>
      </c>
      <c r="O506" s="123">
        <v>0</v>
      </c>
      <c r="P506" s="32">
        <f>MIN(F506:O506)</f>
        <v>0</v>
      </c>
      <c r="Q506" s="6">
        <f>E506-P506</f>
        <v>228</v>
      </c>
      <c r="R506" s="59">
        <f>Q506/E506</f>
        <v>1</v>
      </c>
      <c r="S506" s="1"/>
      <c r="T506" s="1"/>
      <c r="U506" s="1"/>
    </row>
    <row r="507" spans="1:21" ht="9.75" customHeight="1" x14ac:dyDescent="0.4">
      <c r="A507" s="1"/>
      <c r="B507" s="1"/>
      <c r="C507" s="17"/>
      <c r="D507" s="17" t="s">
        <v>369</v>
      </c>
      <c r="E507" s="17"/>
      <c r="F507" s="32"/>
      <c r="G507" s="6"/>
      <c r="H507" s="6"/>
      <c r="I507" s="6"/>
      <c r="J507" s="6"/>
      <c r="K507" s="192"/>
      <c r="L507" s="192"/>
      <c r="M507" s="192"/>
      <c r="N507" s="192"/>
      <c r="O507" s="193"/>
      <c r="P507" s="32"/>
      <c r="Q507" s="6"/>
      <c r="R507" s="59"/>
      <c r="S507" s="1"/>
      <c r="T507" s="1"/>
      <c r="U507" s="1"/>
    </row>
    <row r="508" spans="1:21" ht="9.75" customHeight="1" x14ac:dyDescent="0.4">
      <c r="A508" s="1"/>
      <c r="B508" s="1"/>
      <c r="C508" s="17"/>
      <c r="D508" s="17" t="s">
        <v>369</v>
      </c>
      <c r="E508" s="17"/>
      <c r="F508" s="32"/>
      <c r="G508" s="6"/>
      <c r="H508" s="6"/>
      <c r="I508" s="6"/>
      <c r="J508" s="6"/>
      <c r="K508" s="192"/>
      <c r="L508" s="192"/>
      <c r="M508" s="192"/>
      <c r="N508" s="192"/>
      <c r="O508" s="193"/>
      <c r="P508" s="32"/>
      <c r="Q508" s="6"/>
      <c r="R508" s="59"/>
      <c r="S508" s="1"/>
      <c r="T508" s="1"/>
      <c r="U508" s="1"/>
    </row>
    <row r="509" spans="1:21" ht="9.75" customHeight="1" x14ac:dyDescent="0.4">
      <c r="A509" s="1"/>
      <c r="B509" s="1"/>
      <c r="C509" s="17"/>
      <c r="D509" s="17" t="s">
        <v>308</v>
      </c>
      <c r="E509" s="17"/>
      <c r="F509" s="32"/>
      <c r="G509" s="6"/>
      <c r="H509" s="6"/>
      <c r="I509" s="6"/>
      <c r="J509" s="6"/>
      <c r="K509" s="192"/>
      <c r="L509" s="192"/>
      <c r="M509" s="192"/>
      <c r="N509" s="192"/>
      <c r="O509" s="193"/>
      <c r="P509" s="32"/>
      <c r="Q509" s="6"/>
      <c r="R509" s="59"/>
      <c r="S509" s="1"/>
      <c r="T509" s="1"/>
      <c r="U509" s="1"/>
    </row>
    <row r="510" spans="1:21" ht="9.75" customHeight="1" x14ac:dyDescent="0.4">
      <c r="A510" s="1"/>
      <c r="B510" s="1"/>
      <c r="C510" s="17"/>
      <c r="D510" s="17" t="s">
        <v>374</v>
      </c>
      <c r="E510" s="17"/>
      <c r="F510" s="32"/>
      <c r="G510" s="6"/>
      <c r="H510" s="6"/>
      <c r="I510" s="6"/>
      <c r="J510" s="6"/>
      <c r="K510" s="192"/>
      <c r="L510" s="192"/>
      <c r="M510" s="192"/>
      <c r="N510" s="192"/>
      <c r="O510" s="193"/>
      <c r="P510" s="32"/>
      <c r="Q510" s="6"/>
      <c r="R510" s="59"/>
      <c r="S510" s="1"/>
      <c r="T510" s="1"/>
      <c r="U510" s="1"/>
    </row>
    <row r="511" spans="1:21" ht="9.75" customHeight="1" x14ac:dyDescent="0.4">
      <c r="A511" s="1"/>
      <c r="B511" s="1"/>
      <c r="C511" s="17"/>
      <c r="D511" s="17" t="s">
        <v>374</v>
      </c>
      <c r="E511" s="17"/>
      <c r="F511" s="32"/>
      <c r="G511" s="6"/>
      <c r="H511" s="6"/>
      <c r="I511" s="6"/>
      <c r="J511" s="6"/>
      <c r="K511" s="192"/>
      <c r="L511" s="192"/>
      <c r="M511" s="192"/>
      <c r="N511" s="192"/>
      <c r="O511" s="193"/>
      <c r="P511" s="32"/>
      <c r="Q511" s="6"/>
      <c r="R511" s="59"/>
      <c r="S511" s="1"/>
      <c r="T511" s="1"/>
      <c r="U511" s="1"/>
    </row>
    <row r="512" spans="1:21" ht="9.75" customHeight="1" x14ac:dyDescent="0.4">
      <c r="A512" s="1"/>
      <c r="B512" s="1"/>
      <c r="C512" s="17"/>
      <c r="D512" s="17" t="s">
        <v>374</v>
      </c>
      <c r="E512" s="17"/>
      <c r="F512" s="32"/>
      <c r="G512" s="6"/>
      <c r="H512" s="6"/>
      <c r="I512" s="6"/>
      <c r="J512" s="6"/>
      <c r="K512" s="192"/>
      <c r="L512" s="192"/>
      <c r="M512" s="192"/>
      <c r="N512" s="192"/>
      <c r="O512" s="193"/>
      <c r="P512" s="32"/>
      <c r="Q512" s="6"/>
      <c r="R512" s="59"/>
      <c r="S512" s="1"/>
      <c r="T512" s="1"/>
      <c r="U512" s="1"/>
    </row>
    <row r="513" spans="1:21" ht="9.75" customHeight="1" x14ac:dyDescent="0.4">
      <c r="A513" s="1"/>
      <c r="B513" s="1"/>
      <c r="C513" s="17"/>
      <c r="D513" s="17" t="s">
        <v>374</v>
      </c>
      <c r="E513" s="17"/>
      <c r="F513" s="32"/>
      <c r="G513" s="6"/>
      <c r="H513" s="6"/>
      <c r="I513" s="6"/>
      <c r="J513" s="6"/>
      <c r="K513" s="192"/>
      <c r="L513" s="192"/>
      <c r="M513" s="192"/>
      <c r="N513" s="192"/>
      <c r="O513" s="193"/>
      <c r="P513" s="32"/>
      <c r="Q513" s="6"/>
      <c r="R513" s="59"/>
      <c r="S513" s="1"/>
      <c r="T513" s="1"/>
      <c r="U513" s="1"/>
    </row>
    <row r="514" spans="1:21" ht="9.75" customHeight="1" x14ac:dyDescent="0.4">
      <c r="A514" s="1"/>
      <c r="B514" s="1"/>
      <c r="C514" s="17"/>
      <c r="D514" s="17" t="s">
        <v>374</v>
      </c>
      <c r="E514" s="17"/>
      <c r="F514" s="32"/>
      <c r="G514" s="6"/>
      <c r="H514" s="6"/>
      <c r="I514" s="6"/>
      <c r="J514" s="6"/>
      <c r="K514" s="192"/>
      <c r="L514" s="192"/>
      <c r="M514" s="192"/>
      <c r="N514" s="192"/>
      <c r="O514" s="193"/>
      <c r="P514" s="32"/>
      <c r="Q514" s="6"/>
      <c r="R514" s="59"/>
      <c r="S514" s="1"/>
      <c r="T514" s="1"/>
      <c r="U514" s="1"/>
    </row>
    <row r="515" spans="1:21" ht="9.75" customHeight="1" x14ac:dyDescent="0.4">
      <c r="A515" s="1"/>
      <c r="B515" s="1"/>
      <c r="C515" s="17"/>
      <c r="D515" s="17" t="s">
        <v>371</v>
      </c>
      <c r="E515" s="17">
        <v>2</v>
      </c>
      <c r="F515" s="32">
        <v>1</v>
      </c>
      <c r="G515" s="6">
        <v>1</v>
      </c>
      <c r="H515" s="6">
        <v>2</v>
      </c>
      <c r="I515" s="6">
        <v>2</v>
      </c>
      <c r="J515" s="6">
        <v>2</v>
      </c>
      <c r="K515" s="74">
        <v>1</v>
      </c>
      <c r="L515" s="74">
        <v>1</v>
      </c>
      <c r="M515" s="74">
        <v>0</v>
      </c>
      <c r="N515" s="74">
        <v>2</v>
      </c>
      <c r="O515" s="123">
        <v>2</v>
      </c>
      <c r="P515" s="32">
        <f>MIN(F515:O515)</f>
        <v>0</v>
      </c>
      <c r="Q515" s="6">
        <f>E515-P515</f>
        <v>2</v>
      </c>
      <c r="R515" s="59">
        <f>Q515/E515</f>
        <v>1</v>
      </c>
      <c r="S515" s="1"/>
      <c r="T515" s="1"/>
      <c r="U515" s="1"/>
    </row>
    <row r="516" spans="1:21" ht="9.75" customHeight="1" x14ac:dyDescent="0.4">
      <c r="A516" s="1"/>
      <c r="B516" s="1"/>
      <c r="C516" s="17"/>
      <c r="D516" s="17" t="s">
        <v>310</v>
      </c>
      <c r="E516" s="17"/>
      <c r="F516" s="32"/>
      <c r="G516" s="6"/>
      <c r="H516" s="6"/>
      <c r="I516" s="6"/>
      <c r="J516" s="6"/>
      <c r="K516" s="192"/>
      <c r="L516" s="192"/>
      <c r="M516" s="192"/>
      <c r="N516" s="192"/>
      <c r="O516" s="193"/>
      <c r="P516" s="32"/>
      <c r="Q516" s="6"/>
      <c r="R516" s="59"/>
      <c r="S516" s="1"/>
      <c r="T516" s="1"/>
      <c r="U516" s="1"/>
    </row>
    <row r="517" spans="1:21" ht="9.75" customHeight="1" x14ac:dyDescent="0.4">
      <c r="A517" s="1"/>
      <c r="B517" s="1"/>
      <c r="C517" s="17"/>
      <c r="D517" s="17" t="s">
        <v>311</v>
      </c>
      <c r="E517" s="17">
        <v>6</v>
      </c>
      <c r="F517" s="32">
        <v>3</v>
      </c>
      <c r="G517" s="6">
        <v>2</v>
      </c>
      <c r="H517" s="6">
        <v>4</v>
      </c>
      <c r="I517" s="6">
        <v>3</v>
      </c>
      <c r="J517" s="6">
        <v>5</v>
      </c>
      <c r="K517" s="74">
        <v>6</v>
      </c>
      <c r="L517" s="74">
        <v>4</v>
      </c>
      <c r="M517" s="74">
        <v>3</v>
      </c>
      <c r="N517" s="74">
        <v>5</v>
      </c>
      <c r="O517" s="123">
        <v>6</v>
      </c>
      <c r="P517" s="32">
        <f>MIN(F517:O517)</f>
        <v>2</v>
      </c>
      <c r="Q517" s="6">
        <f>E517-P517</f>
        <v>4</v>
      </c>
      <c r="R517" s="59">
        <f>Q517/E517</f>
        <v>0.66666666666666663</v>
      </c>
      <c r="S517" s="1"/>
      <c r="T517" s="1"/>
      <c r="U517" s="1"/>
    </row>
    <row r="518" spans="1:21" ht="9.75" customHeight="1" x14ac:dyDescent="0.4">
      <c r="A518" s="1"/>
      <c r="B518" s="1"/>
      <c r="C518" s="17"/>
      <c r="D518" s="17" t="s">
        <v>312</v>
      </c>
      <c r="E518" s="17"/>
      <c r="F518" s="32"/>
      <c r="G518" s="6"/>
      <c r="H518" s="6"/>
      <c r="I518" s="6"/>
      <c r="J518" s="6"/>
      <c r="K518" s="6"/>
      <c r="L518" s="6"/>
      <c r="M518" s="6"/>
      <c r="N518" s="6"/>
      <c r="O518" s="31"/>
      <c r="P518" s="32"/>
      <c r="Q518" s="6"/>
      <c r="R518" s="59"/>
      <c r="S518" s="1"/>
      <c r="T518" s="1"/>
      <c r="U518" s="1"/>
    </row>
    <row r="519" spans="1:21" ht="9.75" customHeight="1" x14ac:dyDescent="0.4">
      <c r="A519" s="1"/>
      <c r="B519" s="1"/>
      <c r="C519" s="17"/>
      <c r="D519" s="17" t="s">
        <v>313</v>
      </c>
      <c r="E519" s="17"/>
      <c r="F519" s="32"/>
      <c r="G519" s="6"/>
      <c r="H519" s="6"/>
      <c r="I519" s="6"/>
      <c r="J519" s="6"/>
      <c r="K519" s="6"/>
      <c r="L519" s="6"/>
      <c r="M519" s="6"/>
      <c r="N519" s="6"/>
      <c r="O519" s="31"/>
      <c r="P519" s="32"/>
      <c r="Q519" s="6"/>
      <c r="R519" s="59"/>
      <c r="S519" s="1"/>
      <c r="T519" s="1"/>
      <c r="U519" s="1"/>
    </row>
    <row r="520" spans="1:21" ht="9.75" customHeight="1" x14ac:dyDescent="0.4">
      <c r="A520" s="1"/>
      <c r="B520" s="1" t="s">
        <v>395</v>
      </c>
      <c r="C520" s="34"/>
      <c r="D520" s="65" t="s">
        <v>314</v>
      </c>
      <c r="E520" s="65">
        <f t="shared" ref="E520:O520" si="75">SUM(E503:E519)</f>
        <v>236</v>
      </c>
      <c r="F520" s="104">
        <f t="shared" si="75"/>
        <v>4</v>
      </c>
      <c r="G520" s="128">
        <f t="shared" si="75"/>
        <v>3</v>
      </c>
      <c r="H520" s="128">
        <f t="shared" si="75"/>
        <v>6</v>
      </c>
      <c r="I520" s="128">
        <f t="shared" si="75"/>
        <v>5</v>
      </c>
      <c r="J520" s="128">
        <f t="shared" si="75"/>
        <v>7</v>
      </c>
      <c r="K520" s="128">
        <f t="shared" si="75"/>
        <v>7</v>
      </c>
      <c r="L520" s="128">
        <f t="shared" si="75"/>
        <v>5</v>
      </c>
      <c r="M520" s="128">
        <f t="shared" si="75"/>
        <v>6</v>
      </c>
      <c r="N520" s="128">
        <f t="shared" si="75"/>
        <v>8</v>
      </c>
      <c r="O520" s="129">
        <f t="shared" si="75"/>
        <v>8</v>
      </c>
      <c r="P520" s="104">
        <f>MIN(F520:O520)</f>
        <v>3</v>
      </c>
      <c r="Q520" s="128">
        <f>E520-P520</f>
        <v>233</v>
      </c>
      <c r="R520" s="72">
        <f>Q520/E520</f>
        <v>0.98728813559322037</v>
      </c>
      <c r="S520" s="1"/>
      <c r="T520" s="1"/>
      <c r="U520" s="1"/>
    </row>
    <row r="521" spans="1:21" ht="9.75" customHeight="1" x14ac:dyDescent="0.4">
      <c r="A521" s="1"/>
      <c r="B521" s="1"/>
      <c r="C521" s="15" t="s">
        <v>96</v>
      </c>
      <c r="D521" s="15" t="s">
        <v>300</v>
      </c>
      <c r="E521" s="15"/>
      <c r="F521" s="73"/>
      <c r="G521" s="108"/>
      <c r="H521" s="108"/>
      <c r="I521" s="108"/>
      <c r="J521" s="108"/>
      <c r="K521" s="108"/>
      <c r="L521" s="108"/>
      <c r="M521" s="108"/>
      <c r="N521" s="108"/>
      <c r="O521" s="109"/>
      <c r="P521" s="73"/>
      <c r="Q521" s="108"/>
      <c r="R521" s="188"/>
      <c r="S521" s="1"/>
      <c r="T521" s="1"/>
      <c r="U521" s="1"/>
    </row>
    <row r="522" spans="1:21" ht="9.75" customHeight="1" x14ac:dyDescent="0.4">
      <c r="A522" s="1"/>
      <c r="B522" s="1"/>
      <c r="C522" s="17"/>
      <c r="D522" s="17" t="s">
        <v>301</v>
      </c>
      <c r="E522" s="17"/>
      <c r="F522" s="32"/>
      <c r="G522" s="6"/>
      <c r="H522" s="6"/>
      <c r="I522" s="6"/>
      <c r="J522" s="6"/>
      <c r="K522" s="6"/>
      <c r="L522" s="6"/>
      <c r="M522" s="6"/>
      <c r="N522" s="6"/>
      <c r="O522" s="31"/>
      <c r="P522" s="32"/>
      <c r="Q522" s="6"/>
      <c r="R522" s="59"/>
      <c r="S522" s="1"/>
      <c r="T522" s="1"/>
      <c r="U522" s="1"/>
    </row>
    <row r="523" spans="1:21" ht="9.75" customHeight="1" x14ac:dyDescent="0.4">
      <c r="A523" s="1"/>
      <c r="B523" s="1"/>
      <c r="C523" s="17"/>
      <c r="D523" s="17" t="s">
        <v>303</v>
      </c>
      <c r="E523" s="17">
        <v>100</v>
      </c>
      <c r="F523" s="32">
        <v>1</v>
      </c>
      <c r="G523" s="6">
        <v>0</v>
      </c>
      <c r="H523" s="6">
        <v>0</v>
      </c>
      <c r="I523" s="6">
        <v>0</v>
      </c>
      <c r="J523" s="6">
        <v>0</v>
      </c>
      <c r="K523" s="74">
        <v>0</v>
      </c>
      <c r="L523" s="74">
        <v>0</v>
      </c>
      <c r="M523" s="74">
        <v>0</v>
      </c>
      <c r="N523" s="74">
        <v>3</v>
      </c>
      <c r="O523" s="123">
        <v>6</v>
      </c>
      <c r="P523" s="32">
        <f>MIN(F523:O523)</f>
        <v>0</v>
      </c>
      <c r="Q523" s="6">
        <f>E523-P523</f>
        <v>100</v>
      </c>
      <c r="R523" s="59">
        <f>Q523/E523</f>
        <v>1</v>
      </c>
      <c r="S523" s="1"/>
      <c r="T523" s="1"/>
      <c r="U523" s="1"/>
    </row>
    <row r="524" spans="1:21" ht="9.75" customHeight="1" x14ac:dyDescent="0.4">
      <c r="A524" s="1"/>
      <c r="B524" s="1"/>
      <c r="C524" s="17"/>
      <c r="D524" s="17" t="s">
        <v>369</v>
      </c>
      <c r="E524" s="17"/>
      <c r="F524" s="32"/>
      <c r="G524" s="6"/>
      <c r="H524" s="6"/>
      <c r="I524" s="6"/>
      <c r="J524" s="6"/>
      <c r="K524" s="192"/>
      <c r="L524" s="192"/>
      <c r="M524" s="192"/>
      <c r="N524" s="192"/>
      <c r="O524" s="193"/>
      <c r="P524" s="32"/>
      <c r="Q524" s="6"/>
      <c r="R524" s="59"/>
      <c r="S524" s="1"/>
      <c r="T524" s="1"/>
      <c r="U524" s="1"/>
    </row>
    <row r="525" spans="1:21" ht="9.75" customHeight="1" x14ac:dyDescent="0.4">
      <c r="A525" s="1"/>
      <c r="B525" s="1"/>
      <c r="C525" s="17"/>
      <c r="D525" s="17" t="s">
        <v>369</v>
      </c>
      <c r="E525" s="17"/>
      <c r="F525" s="32"/>
      <c r="G525" s="6"/>
      <c r="H525" s="6"/>
      <c r="I525" s="6"/>
      <c r="J525" s="6"/>
      <c r="K525" s="192"/>
      <c r="L525" s="192"/>
      <c r="M525" s="192"/>
      <c r="N525" s="192"/>
      <c r="O525" s="193"/>
      <c r="P525" s="32"/>
      <c r="Q525" s="6"/>
      <c r="R525" s="59"/>
      <c r="S525" s="1"/>
      <c r="T525" s="1"/>
      <c r="U525" s="1"/>
    </row>
    <row r="526" spans="1:21" ht="9.75" customHeight="1" x14ac:dyDescent="0.4">
      <c r="A526" s="1"/>
      <c r="B526" s="1"/>
      <c r="C526" s="17"/>
      <c r="D526" s="17" t="s">
        <v>308</v>
      </c>
      <c r="E526" s="17">
        <v>11</v>
      </c>
      <c r="F526" s="32">
        <v>9</v>
      </c>
      <c r="G526" s="6">
        <f>E526-3</f>
        <v>8</v>
      </c>
      <c r="H526" s="6">
        <v>8</v>
      </c>
      <c r="I526" s="6">
        <v>7</v>
      </c>
      <c r="J526" s="6">
        <v>8</v>
      </c>
      <c r="K526" s="74">
        <v>8</v>
      </c>
      <c r="L526" s="74">
        <v>8</v>
      </c>
      <c r="M526" s="74">
        <v>9</v>
      </c>
      <c r="N526" s="74">
        <v>10</v>
      </c>
      <c r="O526" s="123">
        <v>10</v>
      </c>
      <c r="P526" s="32">
        <f t="shared" ref="P526:P528" si="76">MIN(F526:O526)</f>
        <v>7</v>
      </c>
      <c r="Q526" s="6">
        <f t="shared" ref="Q526:Q528" si="77">E526-P526</f>
        <v>4</v>
      </c>
      <c r="R526" s="59">
        <f t="shared" ref="R526:R528" si="78">Q526/E526</f>
        <v>0.36363636363636365</v>
      </c>
      <c r="S526" s="1"/>
      <c r="T526" s="1"/>
      <c r="U526" s="1"/>
    </row>
    <row r="527" spans="1:21" ht="9.75" customHeight="1" x14ac:dyDescent="0.4">
      <c r="A527" s="1"/>
      <c r="B527" s="1"/>
      <c r="C527" s="17"/>
      <c r="D527" s="17" t="s">
        <v>422</v>
      </c>
      <c r="E527" s="17">
        <v>1</v>
      </c>
      <c r="F527" s="32">
        <v>0</v>
      </c>
      <c r="G527" s="6">
        <v>1</v>
      </c>
      <c r="H527" s="6">
        <v>1</v>
      </c>
      <c r="I527" s="6">
        <v>1</v>
      </c>
      <c r="J527" s="6">
        <v>1</v>
      </c>
      <c r="K527" s="74">
        <v>1</v>
      </c>
      <c r="L527" s="74">
        <v>1</v>
      </c>
      <c r="M527" s="74">
        <v>1</v>
      </c>
      <c r="N527" s="74">
        <v>1</v>
      </c>
      <c r="O527" s="123">
        <v>1</v>
      </c>
      <c r="P527" s="32">
        <f t="shared" si="76"/>
        <v>0</v>
      </c>
      <c r="Q527" s="6">
        <f t="shared" si="77"/>
        <v>1</v>
      </c>
      <c r="R527" s="59">
        <f t="shared" si="78"/>
        <v>1</v>
      </c>
      <c r="S527" s="1"/>
      <c r="T527" s="1"/>
      <c r="U527" s="1"/>
    </row>
    <row r="528" spans="1:21" ht="9.75" customHeight="1" x14ac:dyDescent="0.4">
      <c r="A528" s="1"/>
      <c r="B528" s="1"/>
      <c r="C528" s="17"/>
      <c r="D528" s="17" t="s">
        <v>372</v>
      </c>
      <c r="E528" s="17">
        <v>10</v>
      </c>
      <c r="F528" s="32">
        <v>4</v>
      </c>
      <c r="G528" s="6">
        <v>2</v>
      </c>
      <c r="H528" s="6">
        <v>0</v>
      </c>
      <c r="I528" s="6">
        <v>0</v>
      </c>
      <c r="J528" s="6">
        <v>0</v>
      </c>
      <c r="K528" s="74">
        <v>0</v>
      </c>
      <c r="L528" s="74">
        <v>0</v>
      </c>
      <c r="M528" s="74">
        <v>4</v>
      </c>
      <c r="N528" s="74">
        <v>3</v>
      </c>
      <c r="O528" s="123">
        <v>1</v>
      </c>
      <c r="P528" s="32">
        <f t="shared" si="76"/>
        <v>0</v>
      </c>
      <c r="Q528" s="6">
        <f t="shared" si="77"/>
        <v>10</v>
      </c>
      <c r="R528" s="59">
        <f t="shared" si="78"/>
        <v>1</v>
      </c>
      <c r="S528" s="1"/>
      <c r="T528" s="1"/>
      <c r="U528" s="1"/>
    </row>
    <row r="529" spans="1:21" ht="9.75" customHeight="1" x14ac:dyDescent="0.4">
      <c r="A529" s="1"/>
      <c r="B529" s="1"/>
      <c r="C529" s="17"/>
      <c r="D529" s="17" t="s">
        <v>377</v>
      </c>
      <c r="E529" s="17"/>
      <c r="F529" s="32"/>
      <c r="G529" s="6"/>
      <c r="H529" s="6"/>
      <c r="I529" s="6"/>
      <c r="J529" s="6"/>
      <c r="K529" s="192"/>
      <c r="L529" s="192"/>
      <c r="M529" s="192"/>
      <c r="N529" s="192"/>
      <c r="O529" s="193"/>
      <c r="P529" s="32"/>
      <c r="Q529" s="6"/>
      <c r="R529" s="59"/>
      <c r="S529" s="1"/>
      <c r="T529" s="182"/>
      <c r="U529" s="182"/>
    </row>
    <row r="530" spans="1:21" ht="9.75" customHeight="1" x14ac:dyDescent="0.4">
      <c r="A530" s="1"/>
      <c r="B530" s="1"/>
      <c r="C530" s="17"/>
      <c r="D530" s="17" t="s">
        <v>399</v>
      </c>
      <c r="E530" s="17">
        <v>63</v>
      </c>
      <c r="F530" s="32">
        <v>30</v>
      </c>
      <c r="G530" s="6">
        <v>41</v>
      </c>
      <c r="H530" s="6">
        <v>0</v>
      </c>
      <c r="I530" s="6">
        <v>0</v>
      </c>
      <c r="J530" s="6">
        <v>0</v>
      </c>
      <c r="K530" s="74">
        <v>0</v>
      </c>
      <c r="L530" s="74">
        <v>0</v>
      </c>
      <c r="M530" s="74">
        <v>6</v>
      </c>
      <c r="N530" s="74">
        <v>10</v>
      </c>
      <c r="O530" s="123">
        <v>23</v>
      </c>
      <c r="P530" s="32">
        <f>MIN(F530:O530)</f>
        <v>0</v>
      </c>
      <c r="Q530" s="6">
        <f>E530-P530</f>
        <v>63</v>
      </c>
      <c r="R530" s="59">
        <f>Q530/E530</f>
        <v>1</v>
      </c>
      <c r="S530" s="1"/>
      <c r="T530" s="1"/>
      <c r="U530" s="1"/>
    </row>
    <row r="531" spans="1:21" ht="9.75" customHeight="1" x14ac:dyDescent="0.4">
      <c r="A531" s="1"/>
      <c r="B531" s="1"/>
      <c r="C531" s="17"/>
      <c r="D531" s="17" t="s">
        <v>374</v>
      </c>
      <c r="E531" s="17"/>
      <c r="F531" s="32"/>
      <c r="G531" s="6"/>
      <c r="H531" s="6"/>
      <c r="I531" s="6"/>
      <c r="J531" s="6"/>
      <c r="K531" s="192"/>
      <c r="L531" s="192"/>
      <c r="M531" s="192"/>
      <c r="N531" s="192"/>
      <c r="O531" s="193"/>
      <c r="P531" s="32"/>
      <c r="Q531" s="6"/>
      <c r="R531" s="59"/>
      <c r="S531" s="1"/>
      <c r="T531" s="1"/>
      <c r="U531" s="1"/>
    </row>
    <row r="532" spans="1:21" ht="9.75" customHeight="1" x14ac:dyDescent="0.4">
      <c r="A532" s="1"/>
      <c r="B532" s="1"/>
      <c r="C532" s="17"/>
      <c r="D532" s="17" t="s">
        <v>310</v>
      </c>
      <c r="E532" s="17">
        <v>5</v>
      </c>
      <c r="F532" s="32">
        <v>4</v>
      </c>
      <c r="G532" s="6">
        <v>4</v>
      </c>
      <c r="H532" s="6">
        <v>3</v>
      </c>
      <c r="I532" s="6">
        <v>3</v>
      </c>
      <c r="J532" s="6">
        <v>2</v>
      </c>
      <c r="K532" s="74">
        <v>3</v>
      </c>
      <c r="L532" s="74">
        <v>2</v>
      </c>
      <c r="M532" s="74">
        <v>4</v>
      </c>
      <c r="N532" s="74">
        <v>4</v>
      </c>
      <c r="O532" s="123">
        <v>5</v>
      </c>
      <c r="P532" s="32">
        <f>MIN(F532:O532)</f>
        <v>2</v>
      </c>
      <c r="Q532" s="6">
        <f>E532-P532</f>
        <v>3</v>
      </c>
      <c r="R532" s="59">
        <f>Q532/E532</f>
        <v>0.6</v>
      </c>
      <c r="S532" s="1"/>
      <c r="T532" s="1"/>
      <c r="U532" s="1"/>
    </row>
    <row r="533" spans="1:21" ht="9.75" customHeight="1" x14ac:dyDescent="0.4">
      <c r="A533" s="1"/>
      <c r="B533" s="1"/>
      <c r="C533" s="17"/>
      <c r="D533" s="17" t="s">
        <v>311</v>
      </c>
      <c r="E533" s="17"/>
      <c r="F533" s="32"/>
      <c r="G533" s="6"/>
      <c r="H533" s="6"/>
      <c r="I533" s="6"/>
      <c r="J533" s="6"/>
      <c r="K533" s="6"/>
      <c r="L533" s="6"/>
      <c r="M533" s="6"/>
      <c r="N533" s="6"/>
      <c r="O533" s="31"/>
      <c r="P533" s="32"/>
      <c r="Q533" s="6"/>
      <c r="R533" s="59"/>
      <c r="S533" s="1"/>
      <c r="T533" s="1"/>
      <c r="U533" s="1"/>
    </row>
    <row r="534" spans="1:21" ht="9.75" customHeight="1" x14ac:dyDescent="0.4">
      <c r="A534" s="1"/>
      <c r="B534" s="1"/>
      <c r="C534" s="17"/>
      <c r="D534" s="17" t="s">
        <v>312</v>
      </c>
      <c r="E534" s="17"/>
      <c r="F534" s="32"/>
      <c r="G534" s="6"/>
      <c r="H534" s="6"/>
      <c r="I534" s="6"/>
      <c r="J534" s="6"/>
      <c r="K534" s="6"/>
      <c r="L534" s="6"/>
      <c r="M534" s="6"/>
      <c r="N534" s="6"/>
      <c r="O534" s="31"/>
      <c r="P534" s="32"/>
      <c r="Q534" s="6"/>
      <c r="R534" s="59"/>
      <c r="S534" s="1"/>
      <c r="T534" s="1"/>
      <c r="U534" s="1"/>
    </row>
    <row r="535" spans="1:21" ht="9.75" customHeight="1" x14ac:dyDescent="0.4">
      <c r="A535" s="1"/>
      <c r="B535" s="1"/>
      <c r="C535" s="17"/>
      <c r="D535" s="17" t="s">
        <v>313</v>
      </c>
      <c r="E535" s="17"/>
      <c r="F535" s="32"/>
      <c r="G535" s="6"/>
      <c r="H535" s="6"/>
      <c r="I535" s="6"/>
      <c r="J535" s="6"/>
      <c r="K535" s="6"/>
      <c r="L535" s="6"/>
      <c r="M535" s="6"/>
      <c r="N535" s="6"/>
      <c r="O535" s="31"/>
      <c r="P535" s="32"/>
      <c r="Q535" s="6"/>
      <c r="R535" s="59"/>
      <c r="S535" s="1"/>
      <c r="T535" s="1"/>
      <c r="U535" s="1"/>
    </row>
    <row r="536" spans="1:21" ht="9.75" customHeight="1" x14ac:dyDescent="0.4">
      <c r="A536" s="1"/>
      <c r="B536" s="1" t="s">
        <v>395</v>
      </c>
      <c r="C536" s="34"/>
      <c r="D536" s="65" t="s">
        <v>314</v>
      </c>
      <c r="E536" s="65">
        <f t="shared" ref="E536:O536" si="79">SUM(E521:E535)</f>
        <v>190</v>
      </c>
      <c r="F536" s="104">
        <f t="shared" si="79"/>
        <v>48</v>
      </c>
      <c r="G536" s="128">
        <f t="shared" si="79"/>
        <v>56</v>
      </c>
      <c r="H536" s="128">
        <f t="shared" si="79"/>
        <v>12</v>
      </c>
      <c r="I536" s="128">
        <f t="shared" si="79"/>
        <v>11</v>
      </c>
      <c r="J536" s="128">
        <f t="shared" si="79"/>
        <v>11</v>
      </c>
      <c r="K536" s="128">
        <f t="shared" si="79"/>
        <v>12</v>
      </c>
      <c r="L536" s="128">
        <f t="shared" si="79"/>
        <v>11</v>
      </c>
      <c r="M536" s="128">
        <f t="shared" si="79"/>
        <v>24</v>
      </c>
      <c r="N536" s="128">
        <f t="shared" si="79"/>
        <v>31</v>
      </c>
      <c r="O536" s="129">
        <f t="shared" si="79"/>
        <v>46</v>
      </c>
      <c r="P536" s="104">
        <f>MIN(F536:O536)</f>
        <v>11</v>
      </c>
      <c r="Q536" s="128">
        <f>E536-P536</f>
        <v>179</v>
      </c>
      <c r="R536" s="72">
        <f>Q536/E536</f>
        <v>0.94210526315789478</v>
      </c>
      <c r="S536" s="1"/>
      <c r="T536" s="1"/>
      <c r="U536" s="1"/>
    </row>
    <row r="537" spans="1:21" ht="9.75" customHeight="1" x14ac:dyDescent="0.4">
      <c r="A537" s="1"/>
      <c r="B537" s="1"/>
      <c r="C537" s="191" t="s">
        <v>114</v>
      </c>
      <c r="D537" s="191" t="s">
        <v>300</v>
      </c>
      <c r="E537" s="191"/>
      <c r="F537" s="283"/>
      <c r="G537" s="284"/>
      <c r="H537" s="284"/>
      <c r="I537" s="284"/>
      <c r="J537" s="284"/>
      <c r="K537" s="284"/>
      <c r="L537" s="284"/>
      <c r="M537" s="284"/>
      <c r="N537" s="284"/>
      <c r="O537" s="285"/>
      <c r="P537" s="283"/>
      <c r="Q537" s="284"/>
      <c r="R537" s="286"/>
      <c r="S537" s="1"/>
      <c r="T537" s="1"/>
      <c r="U537" s="1"/>
    </row>
    <row r="538" spans="1:21" ht="9.75" customHeight="1" x14ac:dyDescent="0.4">
      <c r="A538" s="1"/>
      <c r="B538" s="1"/>
      <c r="C538" s="220"/>
      <c r="D538" s="220" t="s">
        <v>301</v>
      </c>
      <c r="E538" s="220">
        <v>197</v>
      </c>
      <c r="F538" s="287">
        <f>E538-64</f>
        <v>133</v>
      </c>
      <c r="G538" s="288">
        <f>E538-76</f>
        <v>121</v>
      </c>
      <c r="H538" s="288">
        <v>0</v>
      </c>
      <c r="I538" s="288">
        <v>0</v>
      </c>
      <c r="J538" s="288">
        <v>0</v>
      </c>
      <c r="K538" s="288">
        <v>0</v>
      </c>
      <c r="L538" s="288">
        <v>17</v>
      </c>
      <c r="M538" s="288">
        <v>34</v>
      </c>
      <c r="N538" s="288">
        <f>E538-56</f>
        <v>141</v>
      </c>
      <c r="O538" s="289">
        <f>E538-40</f>
        <v>157</v>
      </c>
      <c r="P538" s="287">
        <f>MIN(F538:O538)</f>
        <v>0</v>
      </c>
      <c r="Q538" s="288">
        <f>E538-P538</f>
        <v>197</v>
      </c>
      <c r="R538" s="290">
        <f>Q538/E538</f>
        <v>1</v>
      </c>
      <c r="S538" s="1"/>
      <c r="T538" s="1"/>
      <c r="U538" s="1"/>
    </row>
    <row r="539" spans="1:21" ht="9.75" customHeight="1" x14ac:dyDescent="0.4">
      <c r="A539" s="1"/>
      <c r="B539" s="1"/>
      <c r="C539" s="220"/>
      <c r="D539" s="220" t="s">
        <v>303</v>
      </c>
      <c r="E539" s="220"/>
      <c r="F539" s="287"/>
      <c r="G539" s="288"/>
      <c r="H539" s="288"/>
      <c r="I539" s="288"/>
      <c r="J539" s="288"/>
      <c r="K539" s="288"/>
      <c r="L539" s="288"/>
      <c r="M539" s="288"/>
      <c r="N539" s="288"/>
      <c r="O539" s="289"/>
      <c r="P539" s="287"/>
      <c r="Q539" s="288"/>
      <c r="R539" s="290"/>
      <c r="S539" s="1"/>
      <c r="T539" s="1"/>
      <c r="U539" s="1"/>
    </row>
    <row r="540" spans="1:21" ht="9.75" customHeight="1" x14ac:dyDescent="0.4">
      <c r="A540" s="1"/>
      <c r="B540" s="1"/>
      <c r="C540" s="220"/>
      <c r="D540" s="220" t="s">
        <v>369</v>
      </c>
      <c r="E540" s="220"/>
      <c r="F540" s="287"/>
      <c r="G540" s="288"/>
      <c r="H540" s="288"/>
      <c r="I540" s="288"/>
      <c r="J540" s="288"/>
      <c r="K540" s="288"/>
      <c r="L540" s="288"/>
      <c r="M540" s="288"/>
      <c r="N540" s="288"/>
      <c r="O540" s="289"/>
      <c r="P540" s="287"/>
      <c r="Q540" s="288"/>
      <c r="R540" s="290"/>
      <c r="S540" s="1"/>
      <c r="T540" s="1"/>
      <c r="U540" s="1"/>
    </row>
    <row r="541" spans="1:21" ht="9.75" customHeight="1" x14ac:dyDescent="0.4">
      <c r="A541" s="1"/>
      <c r="B541" s="1"/>
      <c r="C541" s="220"/>
      <c r="D541" s="220" t="s">
        <v>369</v>
      </c>
      <c r="E541" s="220"/>
      <c r="F541" s="287"/>
      <c r="G541" s="288"/>
      <c r="H541" s="288"/>
      <c r="I541" s="288"/>
      <c r="J541" s="288"/>
      <c r="K541" s="288"/>
      <c r="L541" s="288"/>
      <c r="M541" s="288"/>
      <c r="N541" s="288"/>
      <c r="O541" s="289"/>
      <c r="P541" s="287"/>
      <c r="Q541" s="288"/>
      <c r="R541" s="290"/>
      <c r="S541" s="1"/>
      <c r="T541" s="1"/>
      <c r="U541" s="1"/>
    </row>
    <row r="542" spans="1:21" ht="9.75" customHeight="1" x14ac:dyDescent="0.4">
      <c r="A542" s="1"/>
      <c r="B542" s="1"/>
      <c r="C542" s="220"/>
      <c r="D542" s="220" t="s">
        <v>308</v>
      </c>
      <c r="E542" s="220"/>
      <c r="F542" s="287"/>
      <c r="G542" s="288"/>
      <c r="H542" s="288"/>
      <c r="I542" s="288"/>
      <c r="J542" s="288"/>
      <c r="K542" s="288"/>
      <c r="L542" s="288"/>
      <c r="M542" s="288"/>
      <c r="N542" s="288"/>
      <c r="O542" s="289"/>
      <c r="P542" s="287"/>
      <c r="Q542" s="288"/>
      <c r="R542" s="290"/>
      <c r="S542" s="1"/>
      <c r="T542" s="1"/>
      <c r="U542" s="1"/>
    </row>
    <row r="543" spans="1:21" ht="9.75" customHeight="1" x14ac:dyDescent="0.4">
      <c r="A543" s="1"/>
      <c r="B543" s="1"/>
      <c r="C543" s="220"/>
      <c r="D543" s="220" t="s">
        <v>372</v>
      </c>
      <c r="E543" s="220"/>
      <c r="F543" s="287"/>
      <c r="G543" s="288"/>
      <c r="H543" s="288"/>
      <c r="I543" s="288"/>
      <c r="J543" s="288"/>
      <c r="K543" s="288"/>
      <c r="L543" s="288"/>
      <c r="M543" s="288"/>
      <c r="N543" s="288"/>
      <c r="O543" s="289"/>
      <c r="P543" s="287"/>
      <c r="Q543" s="288"/>
      <c r="R543" s="290"/>
      <c r="S543" s="1"/>
      <c r="T543" s="1"/>
      <c r="U543" s="1"/>
    </row>
    <row r="544" spans="1:21" ht="9.75" customHeight="1" x14ac:dyDescent="0.4">
      <c r="A544" s="1"/>
      <c r="B544" s="1"/>
      <c r="C544" s="220"/>
      <c r="D544" s="220" t="s">
        <v>399</v>
      </c>
      <c r="E544" s="220">
        <v>15</v>
      </c>
      <c r="F544" s="291">
        <f>E544-3</f>
        <v>12</v>
      </c>
      <c r="G544" s="292">
        <f>E544-6</f>
        <v>9</v>
      </c>
      <c r="H544" s="292">
        <v>0</v>
      </c>
      <c r="I544" s="292">
        <v>0</v>
      </c>
      <c r="J544" s="292">
        <v>0</v>
      </c>
      <c r="K544" s="288">
        <v>0</v>
      </c>
      <c r="L544" s="288">
        <v>0</v>
      </c>
      <c r="M544" s="288">
        <v>0</v>
      </c>
      <c r="N544" s="288">
        <v>6</v>
      </c>
      <c r="O544" s="289">
        <v>9</v>
      </c>
      <c r="P544" s="293">
        <f>MIN(F544:O544)</f>
        <v>0</v>
      </c>
      <c r="Q544" s="294">
        <f>E544-P544</f>
        <v>15</v>
      </c>
      <c r="R544" s="290">
        <f>Q544/E544</f>
        <v>1</v>
      </c>
      <c r="S544" s="1"/>
      <c r="T544" s="1"/>
      <c r="U544" s="1"/>
    </row>
    <row r="545" spans="1:21" ht="9.75" customHeight="1" x14ac:dyDescent="0.4">
      <c r="A545" s="1"/>
      <c r="B545" s="1"/>
      <c r="C545" s="220"/>
      <c r="D545" s="220" t="s">
        <v>374</v>
      </c>
      <c r="E545" s="220"/>
      <c r="F545" s="287"/>
      <c r="G545" s="288"/>
      <c r="H545" s="288"/>
      <c r="I545" s="288"/>
      <c r="J545" s="288"/>
      <c r="K545" s="288"/>
      <c r="L545" s="288"/>
      <c r="M545" s="288"/>
      <c r="N545" s="288"/>
      <c r="O545" s="289"/>
      <c r="P545" s="287"/>
      <c r="Q545" s="288"/>
      <c r="R545" s="290"/>
      <c r="S545" s="1"/>
      <c r="T545" s="1"/>
      <c r="U545" s="1"/>
    </row>
    <row r="546" spans="1:21" ht="9.75" customHeight="1" x14ac:dyDescent="0.4">
      <c r="A546" s="1"/>
      <c r="B546" s="1"/>
      <c r="C546" s="220"/>
      <c r="D546" s="220" t="s">
        <v>374</v>
      </c>
      <c r="E546" s="220"/>
      <c r="F546" s="287"/>
      <c r="G546" s="288"/>
      <c r="H546" s="288"/>
      <c r="I546" s="288"/>
      <c r="J546" s="288"/>
      <c r="K546" s="288"/>
      <c r="L546" s="288"/>
      <c r="M546" s="288"/>
      <c r="N546" s="288"/>
      <c r="O546" s="289"/>
      <c r="P546" s="287"/>
      <c r="Q546" s="288"/>
      <c r="R546" s="290"/>
      <c r="S546" s="1"/>
      <c r="T546" s="1"/>
      <c r="U546" s="1"/>
    </row>
    <row r="547" spans="1:21" ht="9.75" customHeight="1" x14ac:dyDescent="0.4">
      <c r="A547" s="1"/>
      <c r="B547" s="1"/>
      <c r="C547" s="220"/>
      <c r="D547" s="220" t="s">
        <v>374</v>
      </c>
      <c r="E547" s="220"/>
      <c r="F547" s="287"/>
      <c r="G547" s="288"/>
      <c r="H547" s="288"/>
      <c r="I547" s="288"/>
      <c r="J547" s="288"/>
      <c r="K547" s="288"/>
      <c r="L547" s="288"/>
      <c r="M547" s="288"/>
      <c r="N547" s="288"/>
      <c r="O547" s="289"/>
      <c r="P547" s="287"/>
      <c r="Q547" s="288"/>
      <c r="R547" s="290"/>
      <c r="S547" s="1"/>
      <c r="T547" s="1"/>
      <c r="U547" s="1"/>
    </row>
    <row r="548" spans="1:21" ht="9.75" customHeight="1" x14ac:dyDescent="0.4">
      <c r="A548" s="1"/>
      <c r="B548" s="1"/>
      <c r="C548" s="220"/>
      <c r="D548" s="220" t="s">
        <v>374</v>
      </c>
      <c r="E548" s="220"/>
      <c r="F548" s="287"/>
      <c r="G548" s="288"/>
      <c r="H548" s="288"/>
      <c r="I548" s="288"/>
      <c r="J548" s="288"/>
      <c r="K548" s="288"/>
      <c r="L548" s="288"/>
      <c r="M548" s="288"/>
      <c r="N548" s="288"/>
      <c r="O548" s="289"/>
      <c r="P548" s="287"/>
      <c r="Q548" s="288"/>
      <c r="R548" s="290"/>
      <c r="S548" s="1"/>
      <c r="T548" s="1"/>
      <c r="U548" s="1"/>
    </row>
    <row r="549" spans="1:21" ht="9.75" customHeight="1" x14ac:dyDescent="0.4">
      <c r="A549" s="1"/>
      <c r="B549" s="1"/>
      <c r="C549" s="220"/>
      <c r="D549" s="220" t="s">
        <v>310</v>
      </c>
      <c r="E549" s="220"/>
      <c r="F549" s="287"/>
      <c r="G549" s="288"/>
      <c r="H549" s="288"/>
      <c r="I549" s="288"/>
      <c r="J549" s="288"/>
      <c r="K549" s="288"/>
      <c r="L549" s="288"/>
      <c r="M549" s="288"/>
      <c r="N549" s="288"/>
      <c r="O549" s="289"/>
      <c r="P549" s="287"/>
      <c r="Q549" s="288"/>
      <c r="R549" s="290"/>
      <c r="S549" s="1"/>
      <c r="T549" s="1"/>
      <c r="U549" s="1"/>
    </row>
    <row r="550" spans="1:21" ht="9.75" customHeight="1" x14ac:dyDescent="0.4">
      <c r="A550" s="1"/>
      <c r="B550" s="1"/>
      <c r="C550" s="220"/>
      <c r="D550" s="220" t="s">
        <v>311</v>
      </c>
      <c r="E550" s="220"/>
      <c r="F550" s="287"/>
      <c r="G550" s="288"/>
      <c r="H550" s="288"/>
      <c r="I550" s="288"/>
      <c r="J550" s="288"/>
      <c r="K550" s="288"/>
      <c r="L550" s="288"/>
      <c r="M550" s="288"/>
      <c r="N550" s="288"/>
      <c r="O550" s="289"/>
      <c r="P550" s="287"/>
      <c r="Q550" s="288"/>
      <c r="R550" s="290"/>
      <c r="S550" s="1"/>
      <c r="T550" s="1"/>
      <c r="U550" s="1"/>
    </row>
    <row r="551" spans="1:21" ht="9.75" customHeight="1" x14ac:dyDescent="0.4">
      <c r="A551" s="1"/>
      <c r="B551" s="1"/>
      <c r="C551" s="220"/>
      <c r="D551" s="220" t="s">
        <v>312</v>
      </c>
      <c r="E551" s="220"/>
      <c r="F551" s="287"/>
      <c r="G551" s="288"/>
      <c r="H551" s="288"/>
      <c r="I551" s="288"/>
      <c r="J551" s="288"/>
      <c r="K551" s="288"/>
      <c r="L551" s="288"/>
      <c r="M551" s="288"/>
      <c r="N551" s="288"/>
      <c r="O551" s="289"/>
      <c r="P551" s="287"/>
      <c r="Q551" s="288"/>
      <c r="R551" s="290"/>
      <c r="S551" s="1"/>
      <c r="T551" s="1"/>
      <c r="U551" s="1"/>
    </row>
    <row r="552" spans="1:21" ht="9.75" customHeight="1" x14ac:dyDescent="0.4">
      <c r="A552" s="1"/>
      <c r="B552" s="1"/>
      <c r="C552" s="220"/>
      <c r="D552" s="220" t="s">
        <v>313</v>
      </c>
      <c r="E552" s="220"/>
      <c r="F552" s="287"/>
      <c r="G552" s="288"/>
      <c r="H552" s="288"/>
      <c r="I552" s="288"/>
      <c r="J552" s="288"/>
      <c r="K552" s="288"/>
      <c r="L552" s="288"/>
      <c r="M552" s="288"/>
      <c r="N552" s="288"/>
      <c r="O552" s="289"/>
      <c r="P552" s="287"/>
      <c r="Q552" s="288"/>
      <c r="R552" s="290"/>
      <c r="S552" s="1"/>
      <c r="T552" s="1"/>
      <c r="U552" s="1"/>
    </row>
    <row r="553" spans="1:21" ht="9.75" customHeight="1" x14ac:dyDescent="0.4">
      <c r="A553" s="1"/>
      <c r="B553" s="1" t="s">
        <v>395</v>
      </c>
      <c r="C553" s="221"/>
      <c r="D553" s="210" t="s">
        <v>314</v>
      </c>
      <c r="E553" s="210">
        <f t="shared" ref="E553:O553" si="80">SUM(E537:E552)</f>
        <v>212</v>
      </c>
      <c r="F553" s="211">
        <f t="shared" si="80"/>
        <v>145</v>
      </c>
      <c r="G553" s="212">
        <f t="shared" si="80"/>
        <v>130</v>
      </c>
      <c r="H553" s="212">
        <f t="shared" si="80"/>
        <v>0</v>
      </c>
      <c r="I553" s="212">
        <f t="shared" si="80"/>
        <v>0</v>
      </c>
      <c r="J553" s="212">
        <f t="shared" si="80"/>
        <v>0</v>
      </c>
      <c r="K553" s="212">
        <f t="shared" si="80"/>
        <v>0</v>
      </c>
      <c r="L553" s="212">
        <f t="shared" si="80"/>
        <v>17</v>
      </c>
      <c r="M553" s="212">
        <f t="shared" si="80"/>
        <v>34</v>
      </c>
      <c r="N553" s="212">
        <f t="shared" si="80"/>
        <v>147</v>
      </c>
      <c r="O553" s="295">
        <f t="shared" si="80"/>
        <v>166</v>
      </c>
      <c r="P553" s="211">
        <f>MIN(F553:O553)</f>
        <v>0</v>
      </c>
      <c r="Q553" s="212">
        <f>E553-P553</f>
        <v>212</v>
      </c>
      <c r="R553" s="296">
        <f>Q553/E553</f>
        <v>1</v>
      </c>
      <c r="S553" s="1"/>
      <c r="T553" s="1"/>
      <c r="U553" s="1"/>
    </row>
    <row r="554" spans="1:21" ht="9.75" customHeight="1" x14ac:dyDescent="0.4">
      <c r="A554" s="1"/>
      <c r="B554" s="1"/>
      <c r="C554" s="191" t="s">
        <v>131</v>
      </c>
      <c r="D554" s="191" t="s">
        <v>300</v>
      </c>
      <c r="E554" s="191"/>
      <c r="F554" s="283"/>
      <c r="G554" s="284"/>
      <c r="H554" s="284"/>
      <c r="I554" s="284"/>
      <c r="J554" s="284"/>
      <c r="K554" s="284"/>
      <c r="L554" s="284"/>
      <c r="M554" s="284"/>
      <c r="N554" s="284"/>
      <c r="O554" s="285"/>
      <c r="P554" s="283"/>
      <c r="Q554" s="284"/>
      <c r="R554" s="286"/>
      <c r="S554" s="1"/>
      <c r="T554" s="1"/>
      <c r="U554" s="1"/>
    </row>
    <row r="555" spans="1:21" ht="9.75" customHeight="1" x14ac:dyDescent="0.4">
      <c r="A555" s="1"/>
      <c r="B555" s="1"/>
      <c r="C555" s="220"/>
      <c r="D555" s="220" t="s">
        <v>301</v>
      </c>
      <c r="E555" s="220">
        <v>209</v>
      </c>
      <c r="F555" s="287">
        <f>E555-6</f>
        <v>203</v>
      </c>
      <c r="G555" s="288">
        <f>E555-10</f>
        <v>199</v>
      </c>
      <c r="H555" s="288">
        <v>116</v>
      </c>
      <c r="I555" s="288">
        <v>3</v>
      </c>
      <c r="J555" s="288">
        <v>9</v>
      </c>
      <c r="K555" s="288">
        <v>0</v>
      </c>
      <c r="L555" s="288">
        <v>0</v>
      </c>
      <c r="M555" s="288">
        <f>E555-10</f>
        <v>199</v>
      </c>
      <c r="N555" s="288">
        <f>E555-12</f>
        <v>197</v>
      </c>
      <c r="O555" s="289">
        <f>E555-6</f>
        <v>203</v>
      </c>
      <c r="P555" s="287">
        <f>MIN(F555:O555)</f>
        <v>0</v>
      </c>
      <c r="Q555" s="288">
        <f>E555-P555</f>
        <v>209</v>
      </c>
      <c r="R555" s="290">
        <f>Q555/E555</f>
        <v>1</v>
      </c>
      <c r="S555" s="1"/>
      <c r="T555" s="1"/>
      <c r="U555" s="1"/>
    </row>
    <row r="556" spans="1:21" ht="9.75" customHeight="1" x14ac:dyDescent="0.4">
      <c r="A556" s="1"/>
      <c r="B556" s="1"/>
      <c r="C556" s="220"/>
      <c r="D556" s="220" t="s">
        <v>303</v>
      </c>
      <c r="E556" s="220"/>
      <c r="F556" s="287"/>
      <c r="G556" s="288"/>
      <c r="H556" s="288"/>
      <c r="I556" s="288"/>
      <c r="J556" s="288"/>
      <c r="K556" s="288"/>
      <c r="L556" s="288"/>
      <c r="M556" s="288"/>
      <c r="N556" s="288"/>
      <c r="O556" s="289"/>
      <c r="P556" s="287"/>
      <c r="Q556" s="288"/>
      <c r="R556" s="290"/>
      <c r="S556" s="1"/>
      <c r="T556" s="1"/>
      <c r="U556" s="1"/>
    </row>
    <row r="557" spans="1:21" ht="9.75" customHeight="1" x14ac:dyDescent="0.4">
      <c r="A557" s="1"/>
      <c r="B557" s="1"/>
      <c r="C557" s="220"/>
      <c r="D557" s="220" t="s">
        <v>369</v>
      </c>
      <c r="E557" s="220"/>
      <c r="F557" s="287"/>
      <c r="G557" s="288"/>
      <c r="H557" s="288"/>
      <c r="I557" s="288"/>
      <c r="J557" s="288"/>
      <c r="K557" s="288"/>
      <c r="L557" s="288"/>
      <c r="M557" s="288"/>
      <c r="N557" s="288"/>
      <c r="O557" s="289"/>
      <c r="P557" s="287"/>
      <c r="Q557" s="288"/>
      <c r="R557" s="290"/>
      <c r="S557" s="1"/>
      <c r="T557" s="1"/>
      <c r="U557" s="1"/>
    </row>
    <row r="558" spans="1:21" ht="9.75" customHeight="1" x14ac:dyDescent="0.4">
      <c r="A558" s="1"/>
      <c r="B558" s="1"/>
      <c r="C558" s="220"/>
      <c r="D558" s="220" t="s">
        <v>369</v>
      </c>
      <c r="E558" s="220"/>
      <c r="F558" s="287"/>
      <c r="G558" s="288"/>
      <c r="H558" s="288"/>
      <c r="I558" s="288"/>
      <c r="J558" s="288"/>
      <c r="K558" s="288"/>
      <c r="L558" s="288"/>
      <c r="M558" s="288"/>
      <c r="N558" s="288"/>
      <c r="O558" s="289"/>
      <c r="P558" s="287"/>
      <c r="Q558" s="288"/>
      <c r="R558" s="290"/>
      <c r="S558" s="1"/>
      <c r="T558" s="1"/>
      <c r="U558" s="1"/>
    </row>
    <row r="559" spans="1:21" ht="9.75" customHeight="1" x14ac:dyDescent="0.4">
      <c r="A559" s="1"/>
      <c r="B559" s="1"/>
      <c r="C559" s="220"/>
      <c r="D559" s="220" t="s">
        <v>308</v>
      </c>
      <c r="E559" s="220"/>
      <c r="F559" s="287"/>
      <c r="G559" s="288"/>
      <c r="H559" s="288"/>
      <c r="I559" s="288"/>
      <c r="J559" s="288"/>
      <c r="K559" s="288"/>
      <c r="L559" s="288"/>
      <c r="M559" s="288"/>
      <c r="N559" s="288"/>
      <c r="O559" s="289"/>
      <c r="P559" s="287"/>
      <c r="Q559" s="288"/>
      <c r="R559" s="290"/>
      <c r="S559" s="1"/>
      <c r="T559" s="1"/>
      <c r="U559" s="1"/>
    </row>
    <row r="560" spans="1:21" ht="9.75" customHeight="1" x14ac:dyDescent="0.4">
      <c r="A560" s="1"/>
      <c r="B560" s="1"/>
      <c r="C560" s="220"/>
      <c r="D560" s="220" t="s">
        <v>374</v>
      </c>
      <c r="E560" s="220"/>
      <c r="F560" s="287"/>
      <c r="G560" s="288"/>
      <c r="H560" s="288"/>
      <c r="I560" s="288"/>
      <c r="J560" s="288"/>
      <c r="K560" s="288"/>
      <c r="L560" s="288"/>
      <c r="M560" s="288"/>
      <c r="N560" s="288"/>
      <c r="O560" s="289"/>
      <c r="P560" s="287"/>
      <c r="Q560" s="288"/>
      <c r="R560" s="290"/>
      <c r="S560" s="1"/>
      <c r="T560" s="1"/>
      <c r="U560" s="1"/>
    </row>
    <row r="561" spans="1:21" ht="9.75" customHeight="1" x14ac:dyDescent="0.4">
      <c r="A561" s="1"/>
      <c r="B561" s="1"/>
      <c r="C561" s="220"/>
      <c r="D561" s="220" t="s">
        <v>374</v>
      </c>
      <c r="E561" s="220"/>
      <c r="F561" s="287"/>
      <c r="G561" s="288"/>
      <c r="H561" s="288"/>
      <c r="I561" s="288"/>
      <c r="J561" s="288"/>
      <c r="K561" s="288"/>
      <c r="L561" s="288"/>
      <c r="M561" s="288"/>
      <c r="N561" s="288"/>
      <c r="O561" s="289"/>
      <c r="P561" s="287"/>
      <c r="Q561" s="288"/>
      <c r="R561" s="290"/>
      <c r="S561" s="1"/>
      <c r="T561" s="1"/>
      <c r="U561" s="1"/>
    </row>
    <row r="562" spans="1:21" ht="9.75" customHeight="1" x14ac:dyDescent="0.4">
      <c r="A562" s="1"/>
      <c r="B562" s="1"/>
      <c r="C562" s="220"/>
      <c r="D562" s="220" t="s">
        <v>374</v>
      </c>
      <c r="E562" s="220"/>
      <c r="F562" s="287"/>
      <c r="G562" s="288"/>
      <c r="H562" s="288"/>
      <c r="I562" s="288"/>
      <c r="J562" s="288"/>
      <c r="K562" s="288"/>
      <c r="L562" s="288"/>
      <c r="M562" s="288"/>
      <c r="N562" s="288"/>
      <c r="O562" s="289"/>
      <c r="P562" s="287"/>
      <c r="Q562" s="288"/>
      <c r="R562" s="290"/>
      <c r="S562" s="1"/>
      <c r="T562" s="1"/>
      <c r="U562" s="1"/>
    </row>
    <row r="563" spans="1:21" ht="9.75" customHeight="1" x14ac:dyDescent="0.4">
      <c r="A563" s="1"/>
      <c r="B563" s="1"/>
      <c r="C563" s="220"/>
      <c r="D563" s="220" t="s">
        <v>374</v>
      </c>
      <c r="E563" s="220"/>
      <c r="F563" s="287"/>
      <c r="G563" s="288"/>
      <c r="H563" s="288"/>
      <c r="I563" s="288"/>
      <c r="J563" s="288"/>
      <c r="K563" s="288"/>
      <c r="L563" s="288"/>
      <c r="M563" s="288"/>
      <c r="N563" s="288"/>
      <c r="O563" s="289"/>
      <c r="P563" s="287"/>
      <c r="Q563" s="288"/>
      <c r="R563" s="290"/>
      <c r="S563" s="1"/>
      <c r="T563" s="1"/>
      <c r="U563" s="1"/>
    </row>
    <row r="564" spans="1:21" ht="9.75" customHeight="1" x14ac:dyDescent="0.4">
      <c r="A564" s="1"/>
      <c r="B564" s="1"/>
      <c r="C564" s="220"/>
      <c r="D564" s="220" t="s">
        <v>374</v>
      </c>
      <c r="E564" s="220"/>
      <c r="F564" s="287"/>
      <c r="G564" s="288"/>
      <c r="H564" s="288"/>
      <c r="I564" s="288"/>
      <c r="J564" s="288"/>
      <c r="K564" s="288"/>
      <c r="L564" s="288"/>
      <c r="M564" s="288"/>
      <c r="N564" s="288"/>
      <c r="O564" s="289"/>
      <c r="P564" s="287"/>
      <c r="Q564" s="288"/>
      <c r="R564" s="290"/>
      <c r="S564" s="1"/>
      <c r="T564" s="1"/>
      <c r="U564" s="1"/>
    </row>
    <row r="565" spans="1:21" ht="9.75" customHeight="1" x14ac:dyDescent="0.4">
      <c r="A565" s="1"/>
      <c r="B565" s="1"/>
      <c r="C565" s="220"/>
      <c r="D565" s="220" t="s">
        <v>374</v>
      </c>
      <c r="E565" s="220"/>
      <c r="F565" s="287"/>
      <c r="G565" s="288"/>
      <c r="H565" s="288"/>
      <c r="I565" s="288"/>
      <c r="J565" s="288"/>
      <c r="K565" s="288"/>
      <c r="L565" s="288"/>
      <c r="M565" s="288"/>
      <c r="N565" s="288"/>
      <c r="O565" s="289"/>
      <c r="P565" s="287"/>
      <c r="Q565" s="288"/>
      <c r="R565" s="290"/>
      <c r="S565" s="1"/>
      <c r="T565" s="1"/>
      <c r="U565" s="1"/>
    </row>
    <row r="566" spans="1:21" ht="9.75" customHeight="1" x14ac:dyDescent="0.4">
      <c r="A566" s="1"/>
      <c r="B566" s="1"/>
      <c r="C566" s="220"/>
      <c r="D566" s="220" t="s">
        <v>310</v>
      </c>
      <c r="E566" s="220"/>
      <c r="F566" s="287"/>
      <c r="G566" s="288"/>
      <c r="H566" s="288"/>
      <c r="I566" s="288"/>
      <c r="J566" s="288"/>
      <c r="K566" s="288"/>
      <c r="L566" s="288"/>
      <c r="M566" s="288"/>
      <c r="N566" s="288"/>
      <c r="O566" s="289"/>
      <c r="P566" s="287"/>
      <c r="Q566" s="288"/>
      <c r="R566" s="290"/>
      <c r="S566" s="1"/>
      <c r="T566" s="1"/>
      <c r="U566" s="1"/>
    </row>
    <row r="567" spans="1:21" ht="9.75" customHeight="1" x14ac:dyDescent="0.4">
      <c r="A567" s="1"/>
      <c r="B567" s="1"/>
      <c r="C567" s="220"/>
      <c r="D567" s="220" t="s">
        <v>311</v>
      </c>
      <c r="E567" s="220"/>
      <c r="F567" s="287"/>
      <c r="G567" s="288"/>
      <c r="H567" s="288"/>
      <c r="I567" s="288"/>
      <c r="J567" s="288"/>
      <c r="K567" s="288"/>
      <c r="L567" s="288"/>
      <c r="M567" s="288"/>
      <c r="N567" s="288"/>
      <c r="O567" s="289"/>
      <c r="P567" s="287"/>
      <c r="Q567" s="288"/>
      <c r="R567" s="290"/>
      <c r="S567" s="1"/>
      <c r="T567" s="1"/>
      <c r="U567" s="1"/>
    </row>
    <row r="568" spans="1:21" ht="9.75" customHeight="1" x14ac:dyDescent="0.4">
      <c r="A568" s="1"/>
      <c r="B568" s="1"/>
      <c r="C568" s="220"/>
      <c r="D568" s="220" t="s">
        <v>312</v>
      </c>
      <c r="E568" s="220"/>
      <c r="F568" s="287"/>
      <c r="G568" s="288"/>
      <c r="H568" s="288"/>
      <c r="I568" s="288"/>
      <c r="J568" s="288"/>
      <c r="K568" s="288"/>
      <c r="L568" s="288"/>
      <c r="M568" s="288"/>
      <c r="N568" s="288"/>
      <c r="O568" s="289"/>
      <c r="P568" s="287"/>
      <c r="Q568" s="288"/>
      <c r="R568" s="290"/>
      <c r="S568" s="1"/>
      <c r="T568" s="1"/>
      <c r="U568" s="1"/>
    </row>
    <row r="569" spans="1:21" ht="9.75" customHeight="1" x14ac:dyDescent="0.4">
      <c r="A569" s="1"/>
      <c r="B569" s="1"/>
      <c r="C569" s="220"/>
      <c r="D569" s="220" t="s">
        <v>313</v>
      </c>
      <c r="E569" s="220"/>
      <c r="F569" s="287"/>
      <c r="G569" s="288"/>
      <c r="H569" s="288"/>
      <c r="I569" s="288"/>
      <c r="J569" s="288"/>
      <c r="K569" s="288"/>
      <c r="L569" s="288"/>
      <c r="M569" s="288"/>
      <c r="N569" s="288"/>
      <c r="O569" s="289"/>
      <c r="P569" s="287"/>
      <c r="Q569" s="288"/>
      <c r="R569" s="290"/>
      <c r="S569" s="1"/>
      <c r="T569" s="1"/>
      <c r="U569" s="1"/>
    </row>
    <row r="570" spans="1:21" ht="9.75" customHeight="1" x14ac:dyDescent="0.4">
      <c r="A570" s="1"/>
      <c r="B570" s="1" t="s">
        <v>395</v>
      </c>
      <c r="C570" s="221"/>
      <c r="D570" s="210" t="s">
        <v>314</v>
      </c>
      <c r="E570" s="210">
        <f t="shared" ref="E570:O570" si="81">SUM(E554:E569)</f>
        <v>209</v>
      </c>
      <c r="F570" s="211">
        <f t="shared" si="81"/>
        <v>203</v>
      </c>
      <c r="G570" s="212">
        <f t="shared" si="81"/>
        <v>199</v>
      </c>
      <c r="H570" s="212">
        <f t="shared" si="81"/>
        <v>116</v>
      </c>
      <c r="I570" s="212">
        <f t="shared" si="81"/>
        <v>3</v>
      </c>
      <c r="J570" s="212">
        <f t="shared" si="81"/>
        <v>9</v>
      </c>
      <c r="K570" s="212">
        <f t="shared" si="81"/>
        <v>0</v>
      </c>
      <c r="L570" s="212">
        <f t="shared" si="81"/>
        <v>0</v>
      </c>
      <c r="M570" s="212">
        <f t="shared" si="81"/>
        <v>199</v>
      </c>
      <c r="N570" s="212">
        <f t="shared" si="81"/>
        <v>197</v>
      </c>
      <c r="O570" s="295">
        <f t="shared" si="81"/>
        <v>203</v>
      </c>
      <c r="P570" s="211">
        <f>MIN(F570:O570)</f>
        <v>0</v>
      </c>
      <c r="Q570" s="212">
        <f>E570-P570</f>
        <v>209</v>
      </c>
      <c r="R570" s="296">
        <f>Q570/E570</f>
        <v>1</v>
      </c>
      <c r="S570" s="1"/>
      <c r="T570" s="1"/>
      <c r="U570" s="1"/>
    </row>
    <row r="571" spans="1:21" ht="9.75" customHeight="1" x14ac:dyDescent="0.4">
      <c r="A571" s="1"/>
      <c r="B571" s="1"/>
      <c r="C571" s="191" t="s">
        <v>147</v>
      </c>
      <c r="D571" s="191" t="s">
        <v>300</v>
      </c>
      <c r="E571" s="191"/>
      <c r="F571" s="283"/>
      <c r="G571" s="284"/>
      <c r="H571" s="284"/>
      <c r="I571" s="284"/>
      <c r="J571" s="284"/>
      <c r="K571" s="284"/>
      <c r="L571" s="284"/>
      <c r="M571" s="284"/>
      <c r="N571" s="284"/>
      <c r="O571" s="285"/>
      <c r="P571" s="283"/>
      <c r="Q571" s="284"/>
      <c r="R571" s="286"/>
      <c r="S571" s="1"/>
      <c r="T571" s="1"/>
      <c r="U571" s="1"/>
    </row>
    <row r="572" spans="1:21" ht="9.75" customHeight="1" x14ac:dyDescent="0.4">
      <c r="A572" s="1"/>
      <c r="B572" s="1"/>
      <c r="C572" s="220"/>
      <c r="D572" s="220" t="s">
        <v>301</v>
      </c>
      <c r="E572" s="220">
        <v>197</v>
      </c>
      <c r="F572" s="287">
        <f>E572-53</f>
        <v>144</v>
      </c>
      <c r="G572" s="288">
        <f>E572-66</f>
        <v>131</v>
      </c>
      <c r="H572" s="288">
        <v>9</v>
      </c>
      <c r="I572" s="288">
        <v>3</v>
      </c>
      <c r="J572" s="288">
        <v>0</v>
      </c>
      <c r="K572" s="292">
        <v>1</v>
      </c>
      <c r="L572" s="292">
        <v>2</v>
      </c>
      <c r="M572" s="292">
        <v>16</v>
      </c>
      <c r="N572" s="292">
        <f>E572-73</f>
        <v>124</v>
      </c>
      <c r="O572" s="297">
        <f>E572-55</f>
        <v>142</v>
      </c>
      <c r="P572" s="287">
        <f>MIN(F572:O572)</f>
        <v>0</v>
      </c>
      <c r="Q572" s="288">
        <f>E572-P572</f>
        <v>197</v>
      </c>
      <c r="R572" s="290">
        <f>Q572/E572</f>
        <v>1</v>
      </c>
      <c r="S572" s="1"/>
      <c r="T572" s="1"/>
      <c r="U572" s="1"/>
    </row>
    <row r="573" spans="1:21" ht="9.75" customHeight="1" x14ac:dyDescent="0.4">
      <c r="A573" s="1"/>
      <c r="B573" s="1"/>
      <c r="C573" s="220"/>
      <c r="D573" s="220" t="s">
        <v>303</v>
      </c>
      <c r="E573" s="220"/>
      <c r="F573" s="287"/>
      <c r="G573" s="288"/>
      <c r="H573" s="288"/>
      <c r="I573" s="288"/>
      <c r="J573" s="288"/>
      <c r="K573" s="298"/>
      <c r="L573" s="298"/>
      <c r="M573" s="298"/>
      <c r="N573" s="298"/>
      <c r="O573" s="299"/>
      <c r="P573" s="287"/>
      <c r="Q573" s="288"/>
      <c r="R573" s="290"/>
      <c r="S573" s="1"/>
      <c r="T573" s="1"/>
      <c r="U573" s="1"/>
    </row>
    <row r="574" spans="1:21" ht="9.75" customHeight="1" x14ac:dyDescent="0.4">
      <c r="A574" s="1"/>
      <c r="B574" s="1"/>
      <c r="C574" s="220"/>
      <c r="D574" s="220" t="s">
        <v>369</v>
      </c>
      <c r="E574" s="220"/>
      <c r="F574" s="287"/>
      <c r="G574" s="288"/>
      <c r="H574" s="288"/>
      <c r="I574" s="288"/>
      <c r="J574" s="288"/>
      <c r="K574" s="298"/>
      <c r="L574" s="298"/>
      <c r="M574" s="298"/>
      <c r="N574" s="298"/>
      <c r="O574" s="299"/>
      <c r="P574" s="287"/>
      <c r="Q574" s="288"/>
      <c r="R574" s="290"/>
      <c r="S574" s="1"/>
      <c r="T574" s="1"/>
      <c r="U574" s="1"/>
    </row>
    <row r="575" spans="1:21" ht="9.75" customHeight="1" x14ac:dyDescent="0.4">
      <c r="A575" s="1"/>
      <c r="B575" s="1"/>
      <c r="C575" s="220"/>
      <c r="D575" s="300" t="s">
        <v>369</v>
      </c>
      <c r="E575" s="300"/>
      <c r="F575" s="301"/>
      <c r="G575" s="302"/>
      <c r="H575" s="302"/>
      <c r="I575" s="302"/>
      <c r="J575" s="302"/>
      <c r="K575" s="303"/>
      <c r="L575" s="303"/>
      <c r="M575" s="303"/>
      <c r="N575" s="303"/>
      <c r="O575" s="304"/>
      <c r="P575" s="301"/>
      <c r="Q575" s="302"/>
      <c r="R575" s="305"/>
      <c r="S575" s="1"/>
      <c r="T575" s="1"/>
      <c r="U575" s="1"/>
    </row>
    <row r="576" spans="1:21" ht="9.75" customHeight="1" x14ac:dyDescent="0.4">
      <c r="A576" s="1"/>
      <c r="B576" s="1"/>
      <c r="C576" s="220"/>
      <c r="D576" s="306" t="s">
        <v>308</v>
      </c>
      <c r="E576" s="306"/>
      <c r="F576" s="307"/>
      <c r="G576" s="308"/>
      <c r="H576" s="308"/>
      <c r="I576" s="308"/>
      <c r="J576" s="308"/>
      <c r="K576" s="309"/>
      <c r="L576" s="309"/>
      <c r="M576" s="309"/>
      <c r="N576" s="309"/>
      <c r="O576" s="310"/>
      <c r="P576" s="307"/>
      <c r="Q576" s="308"/>
      <c r="R576" s="311"/>
      <c r="S576" s="1"/>
      <c r="T576" s="1"/>
      <c r="U576" s="1"/>
    </row>
    <row r="577" spans="1:21" ht="9.75" customHeight="1" x14ac:dyDescent="0.4">
      <c r="A577" s="1"/>
      <c r="B577" s="1"/>
      <c r="C577" s="220"/>
      <c r="D577" s="220" t="s">
        <v>399</v>
      </c>
      <c r="E577" s="220">
        <v>12</v>
      </c>
      <c r="F577" s="287">
        <v>12</v>
      </c>
      <c r="G577" s="288">
        <v>11</v>
      </c>
      <c r="H577" s="288">
        <v>9</v>
      </c>
      <c r="I577" s="288">
        <v>5</v>
      </c>
      <c r="J577" s="288">
        <v>3</v>
      </c>
      <c r="K577" s="288">
        <v>0</v>
      </c>
      <c r="L577" s="288">
        <v>1</v>
      </c>
      <c r="M577" s="288">
        <v>0</v>
      </c>
      <c r="N577" s="288">
        <v>7</v>
      </c>
      <c r="O577" s="297">
        <v>8</v>
      </c>
      <c r="P577" s="287">
        <f>MIN(F577:O577)</f>
        <v>0</v>
      </c>
      <c r="Q577" s="288">
        <f>E577-P577</f>
        <v>12</v>
      </c>
      <c r="R577" s="290">
        <f>Q577/E577</f>
        <v>1</v>
      </c>
      <c r="S577" s="1"/>
      <c r="T577" s="1"/>
      <c r="U577" s="1"/>
    </row>
    <row r="578" spans="1:21" ht="9.75" customHeight="1" x14ac:dyDescent="0.4">
      <c r="A578" s="1"/>
      <c r="B578" s="1"/>
      <c r="C578" s="220"/>
      <c r="D578" s="220" t="s">
        <v>374</v>
      </c>
      <c r="E578" s="220"/>
      <c r="F578" s="287"/>
      <c r="G578" s="288"/>
      <c r="H578" s="288"/>
      <c r="I578" s="288"/>
      <c r="J578" s="288"/>
      <c r="K578" s="298"/>
      <c r="L578" s="298"/>
      <c r="M578" s="298"/>
      <c r="N578" s="298"/>
      <c r="O578" s="299"/>
      <c r="P578" s="287"/>
      <c r="Q578" s="288"/>
      <c r="R578" s="290"/>
      <c r="S578" s="1"/>
      <c r="T578" s="1"/>
      <c r="U578" s="1"/>
    </row>
    <row r="579" spans="1:21" ht="9.75" customHeight="1" x14ac:dyDescent="0.4">
      <c r="A579" s="1"/>
      <c r="B579" s="1"/>
      <c r="C579" s="220"/>
      <c r="D579" s="220" t="s">
        <v>374</v>
      </c>
      <c r="E579" s="220"/>
      <c r="F579" s="287"/>
      <c r="G579" s="288"/>
      <c r="H579" s="288"/>
      <c r="I579" s="288"/>
      <c r="J579" s="288"/>
      <c r="K579" s="298"/>
      <c r="L579" s="298"/>
      <c r="M579" s="298"/>
      <c r="N579" s="298"/>
      <c r="O579" s="299"/>
      <c r="P579" s="287"/>
      <c r="Q579" s="288"/>
      <c r="R579" s="290"/>
      <c r="S579" s="1"/>
      <c r="T579" s="1"/>
      <c r="U579" s="1"/>
    </row>
    <row r="580" spans="1:21" ht="9.75" customHeight="1" x14ac:dyDescent="0.4">
      <c r="A580" s="1"/>
      <c r="B580" s="1"/>
      <c r="C580" s="220"/>
      <c r="D580" s="220" t="s">
        <v>374</v>
      </c>
      <c r="E580" s="220"/>
      <c r="F580" s="287"/>
      <c r="G580" s="288"/>
      <c r="H580" s="288"/>
      <c r="I580" s="288"/>
      <c r="J580" s="288"/>
      <c r="K580" s="298"/>
      <c r="L580" s="298"/>
      <c r="M580" s="298"/>
      <c r="N580" s="298"/>
      <c r="O580" s="299"/>
      <c r="P580" s="287"/>
      <c r="Q580" s="288"/>
      <c r="R580" s="290"/>
      <c r="S580" s="1"/>
      <c r="T580" s="1"/>
      <c r="U580" s="1"/>
    </row>
    <row r="581" spans="1:21" ht="9.75" customHeight="1" x14ac:dyDescent="0.4">
      <c r="A581" s="1"/>
      <c r="B581" s="1"/>
      <c r="C581" s="220"/>
      <c r="D581" s="220" t="s">
        <v>374</v>
      </c>
      <c r="E581" s="220"/>
      <c r="F581" s="287"/>
      <c r="G581" s="288"/>
      <c r="H581" s="288"/>
      <c r="I581" s="288"/>
      <c r="J581" s="288"/>
      <c r="K581" s="298"/>
      <c r="L581" s="298"/>
      <c r="M581" s="298"/>
      <c r="N581" s="298"/>
      <c r="O581" s="299"/>
      <c r="P581" s="287"/>
      <c r="Q581" s="288"/>
      <c r="R581" s="290"/>
      <c r="S581" s="1"/>
      <c r="T581" s="1"/>
      <c r="U581" s="1"/>
    </row>
    <row r="582" spans="1:21" ht="9.75" customHeight="1" x14ac:dyDescent="0.4">
      <c r="A582" s="1"/>
      <c r="B582" s="1"/>
      <c r="C582" s="220"/>
      <c r="D582" s="220" t="s">
        <v>374</v>
      </c>
      <c r="E582" s="220"/>
      <c r="F582" s="287"/>
      <c r="G582" s="288"/>
      <c r="H582" s="288"/>
      <c r="I582" s="288"/>
      <c r="J582" s="288"/>
      <c r="K582" s="298"/>
      <c r="L582" s="298"/>
      <c r="M582" s="298"/>
      <c r="N582" s="298"/>
      <c r="O582" s="299"/>
      <c r="P582" s="287"/>
      <c r="Q582" s="288"/>
      <c r="R582" s="290"/>
      <c r="S582" s="1"/>
      <c r="T582" s="1"/>
      <c r="U582" s="1"/>
    </row>
    <row r="583" spans="1:21" ht="9.75" customHeight="1" x14ac:dyDescent="0.4">
      <c r="A583" s="1"/>
      <c r="B583" s="1"/>
      <c r="C583" s="220"/>
      <c r="D583" s="220" t="s">
        <v>310</v>
      </c>
      <c r="E583" s="220">
        <v>1</v>
      </c>
      <c r="F583" s="287">
        <v>1</v>
      </c>
      <c r="G583" s="288">
        <v>1</v>
      </c>
      <c r="H583" s="288">
        <v>1</v>
      </c>
      <c r="I583" s="288">
        <v>1</v>
      </c>
      <c r="J583" s="288">
        <v>1</v>
      </c>
      <c r="K583" s="292">
        <v>1</v>
      </c>
      <c r="L583" s="292">
        <v>1</v>
      </c>
      <c r="M583" s="292">
        <v>1</v>
      </c>
      <c r="N583" s="292">
        <v>1</v>
      </c>
      <c r="O583" s="297">
        <v>1</v>
      </c>
      <c r="P583" s="287">
        <f>MIN(F583:O583)</f>
        <v>1</v>
      </c>
      <c r="Q583" s="288">
        <f>E583-P583</f>
        <v>0</v>
      </c>
      <c r="R583" s="290">
        <f>Q583/E583</f>
        <v>0</v>
      </c>
      <c r="S583" s="1"/>
      <c r="T583" s="1"/>
      <c r="U583" s="1"/>
    </row>
    <row r="584" spans="1:21" ht="9.75" customHeight="1" x14ac:dyDescent="0.4">
      <c r="A584" s="1"/>
      <c r="B584" s="1"/>
      <c r="C584" s="220"/>
      <c r="D584" s="220" t="s">
        <v>311</v>
      </c>
      <c r="E584" s="220"/>
      <c r="F584" s="287"/>
      <c r="G584" s="288"/>
      <c r="H584" s="288"/>
      <c r="I584" s="288"/>
      <c r="J584" s="288"/>
      <c r="K584" s="288"/>
      <c r="L584" s="288"/>
      <c r="M584" s="288"/>
      <c r="N584" s="288"/>
      <c r="O584" s="289"/>
      <c r="P584" s="287"/>
      <c r="Q584" s="288"/>
      <c r="R584" s="290"/>
      <c r="S584" s="1"/>
      <c r="T584" s="1"/>
      <c r="U584" s="1"/>
    </row>
    <row r="585" spans="1:21" ht="9.75" customHeight="1" x14ac:dyDescent="0.4">
      <c r="A585" s="1"/>
      <c r="B585" s="1"/>
      <c r="C585" s="220"/>
      <c r="D585" s="220" t="s">
        <v>312</v>
      </c>
      <c r="E585" s="220"/>
      <c r="F585" s="287"/>
      <c r="G585" s="288"/>
      <c r="H585" s="288"/>
      <c r="I585" s="288"/>
      <c r="J585" s="288"/>
      <c r="K585" s="288"/>
      <c r="L585" s="288"/>
      <c r="M585" s="288"/>
      <c r="N585" s="288"/>
      <c r="O585" s="289"/>
      <c r="P585" s="287"/>
      <c r="Q585" s="288"/>
      <c r="R585" s="290"/>
      <c r="S585" s="1"/>
      <c r="T585" s="1"/>
      <c r="U585" s="1"/>
    </row>
    <row r="586" spans="1:21" ht="9.75" customHeight="1" x14ac:dyDescent="0.4">
      <c r="A586" s="1"/>
      <c r="B586" s="1"/>
      <c r="C586" s="220"/>
      <c r="D586" s="220" t="s">
        <v>313</v>
      </c>
      <c r="E586" s="220"/>
      <c r="F586" s="287"/>
      <c r="G586" s="288"/>
      <c r="H586" s="288"/>
      <c r="I586" s="288"/>
      <c r="J586" s="288"/>
      <c r="K586" s="288"/>
      <c r="L586" s="288"/>
      <c r="M586" s="288"/>
      <c r="N586" s="288"/>
      <c r="O586" s="289"/>
      <c r="P586" s="287"/>
      <c r="Q586" s="288"/>
      <c r="R586" s="290"/>
      <c r="S586" s="1"/>
      <c r="T586" s="1"/>
      <c r="U586" s="1"/>
    </row>
    <row r="587" spans="1:21" ht="9.75" customHeight="1" x14ac:dyDescent="0.4">
      <c r="A587" s="1"/>
      <c r="B587" s="1" t="s">
        <v>395</v>
      </c>
      <c r="C587" s="221"/>
      <c r="D587" s="210" t="s">
        <v>314</v>
      </c>
      <c r="E587" s="210">
        <f t="shared" ref="E587:O587" si="82">SUM(E571:E586)</f>
        <v>210</v>
      </c>
      <c r="F587" s="211">
        <f t="shared" si="82"/>
        <v>157</v>
      </c>
      <c r="G587" s="212">
        <f t="shared" si="82"/>
        <v>143</v>
      </c>
      <c r="H587" s="212">
        <f t="shared" si="82"/>
        <v>19</v>
      </c>
      <c r="I587" s="212">
        <f t="shared" si="82"/>
        <v>9</v>
      </c>
      <c r="J587" s="212">
        <f t="shared" si="82"/>
        <v>4</v>
      </c>
      <c r="K587" s="212">
        <f t="shared" si="82"/>
        <v>2</v>
      </c>
      <c r="L587" s="212">
        <f t="shared" si="82"/>
        <v>4</v>
      </c>
      <c r="M587" s="212">
        <f t="shared" si="82"/>
        <v>17</v>
      </c>
      <c r="N587" s="212">
        <f t="shared" si="82"/>
        <v>132</v>
      </c>
      <c r="O587" s="295">
        <f t="shared" si="82"/>
        <v>151</v>
      </c>
      <c r="P587" s="211">
        <f t="shared" ref="P587:P588" si="83">MIN(F587:O587)</f>
        <v>2</v>
      </c>
      <c r="Q587" s="212">
        <f t="shared" ref="Q587:Q588" si="84">E587-P587</f>
        <v>208</v>
      </c>
      <c r="R587" s="296">
        <f t="shared" ref="R587:R588" si="85">Q587/E587</f>
        <v>0.99047619047619051</v>
      </c>
      <c r="S587" s="1"/>
      <c r="T587" s="1"/>
      <c r="U587" s="1"/>
    </row>
    <row r="588" spans="1:21" ht="9.75" customHeight="1" x14ac:dyDescent="0.4">
      <c r="A588" s="1"/>
      <c r="B588" s="1"/>
      <c r="C588" s="191" t="s">
        <v>161</v>
      </c>
      <c r="D588" s="191" t="s">
        <v>300</v>
      </c>
      <c r="E588" s="220">
        <v>175</v>
      </c>
      <c r="F588" s="287">
        <f>E588-72</f>
        <v>103</v>
      </c>
      <c r="G588" s="288">
        <f>E588-94</f>
        <v>81</v>
      </c>
      <c r="H588" s="288">
        <f>E588-108</f>
        <v>67</v>
      </c>
      <c r="I588" s="288">
        <f>E588-123</f>
        <v>52</v>
      </c>
      <c r="J588" s="288">
        <v>16</v>
      </c>
      <c r="K588" s="288">
        <v>21</v>
      </c>
      <c r="L588" s="288">
        <v>36</v>
      </c>
      <c r="M588" s="288">
        <f>E588-59</f>
        <v>116</v>
      </c>
      <c r="N588" s="288">
        <f>E588-47</f>
        <v>128</v>
      </c>
      <c r="O588" s="289">
        <f>E588-21</f>
        <v>154</v>
      </c>
      <c r="P588" s="287">
        <f t="shared" si="83"/>
        <v>16</v>
      </c>
      <c r="Q588" s="288">
        <f t="shared" si="84"/>
        <v>159</v>
      </c>
      <c r="R588" s="290">
        <f t="shared" si="85"/>
        <v>0.90857142857142859</v>
      </c>
      <c r="S588" s="1"/>
      <c r="T588" s="1"/>
      <c r="U588" s="1"/>
    </row>
    <row r="589" spans="1:21" ht="9.75" customHeight="1" x14ac:dyDescent="0.4">
      <c r="A589" s="1"/>
      <c r="B589" s="1"/>
      <c r="C589" s="220"/>
      <c r="D589" s="220" t="s">
        <v>301</v>
      </c>
      <c r="E589" s="220"/>
      <c r="F589" s="287"/>
      <c r="G589" s="288"/>
      <c r="H589" s="288"/>
      <c r="I589" s="288"/>
      <c r="J589" s="288"/>
      <c r="K589" s="288"/>
      <c r="L589" s="288"/>
      <c r="M589" s="288"/>
      <c r="N589" s="288"/>
      <c r="O589" s="289"/>
      <c r="P589" s="287"/>
      <c r="Q589" s="288"/>
      <c r="R589" s="290"/>
      <c r="S589" s="1"/>
      <c r="T589" s="1"/>
      <c r="U589" s="1"/>
    </row>
    <row r="590" spans="1:21" ht="9.75" customHeight="1" x14ac:dyDescent="0.4">
      <c r="A590" s="1"/>
      <c r="B590" s="1"/>
      <c r="C590" s="220"/>
      <c r="D590" s="220" t="s">
        <v>303</v>
      </c>
      <c r="E590" s="220"/>
      <c r="F590" s="287"/>
      <c r="G590" s="288"/>
      <c r="H590" s="288"/>
      <c r="I590" s="288"/>
      <c r="J590" s="288"/>
      <c r="K590" s="288"/>
      <c r="L590" s="288"/>
      <c r="M590" s="288"/>
      <c r="N590" s="288"/>
      <c r="O590" s="289"/>
      <c r="P590" s="287"/>
      <c r="Q590" s="288"/>
      <c r="R590" s="290"/>
      <c r="S590" s="1"/>
      <c r="T590" s="1"/>
      <c r="U590" s="1"/>
    </row>
    <row r="591" spans="1:21" ht="9.75" customHeight="1" x14ac:dyDescent="0.4">
      <c r="A591" s="1"/>
      <c r="B591" s="1"/>
      <c r="C591" s="220"/>
      <c r="D591" s="220" t="s">
        <v>369</v>
      </c>
      <c r="E591" s="220"/>
      <c r="F591" s="287"/>
      <c r="G591" s="288"/>
      <c r="H591" s="288"/>
      <c r="I591" s="288"/>
      <c r="J591" s="288"/>
      <c r="K591" s="288"/>
      <c r="L591" s="288"/>
      <c r="M591" s="288"/>
      <c r="N591" s="288"/>
      <c r="O591" s="289"/>
      <c r="P591" s="287"/>
      <c r="Q591" s="288"/>
      <c r="R591" s="290"/>
      <c r="S591" s="1"/>
      <c r="T591" s="1"/>
      <c r="U591" s="1"/>
    </row>
    <row r="592" spans="1:21" ht="9.75" customHeight="1" x14ac:dyDescent="0.4">
      <c r="A592" s="1"/>
      <c r="B592" s="1"/>
      <c r="C592" s="220"/>
      <c r="D592" s="220" t="s">
        <v>369</v>
      </c>
      <c r="E592" s="220"/>
      <c r="F592" s="287"/>
      <c r="G592" s="288"/>
      <c r="H592" s="288"/>
      <c r="I592" s="288"/>
      <c r="J592" s="288"/>
      <c r="K592" s="288"/>
      <c r="L592" s="288"/>
      <c r="M592" s="288"/>
      <c r="N592" s="288"/>
      <c r="O592" s="289"/>
      <c r="P592" s="287"/>
      <c r="Q592" s="288"/>
      <c r="R592" s="290"/>
      <c r="S592" s="1"/>
      <c r="T592" s="1"/>
      <c r="U592" s="1"/>
    </row>
    <row r="593" spans="1:21" ht="9.75" customHeight="1" x14ac:dyDescent="0.4">
      <c r="A593" s="1"/>
      <c r="B593" s="1"/>
      <c r="C593" s="220"/>
      <c r="D593" s="220" t="s">
        <v>308</v>
      </c>
      <c r="E593" s="220"/>
      <c r="F593" s="287"/>
      <c r="G593" s="288"/>
      <c r="H593" s="288"/>
      <c r="I593" s="288"/>
      <c r="J593" s="288"/>
      <c r="K593" s="288"/>
      <c r="L593" s="288"/>
      <c r="M593" s="288"/>
      <c r="N593" s="288"/>
      <c r="O593" s="289"/>
      <c r="P593" s="287"/>
      <c r="Q593" s="288"/>
      <c r="R593" s="290"/>
      <c r="S593" s="1"/>
      <c r="T593" s="1"/>
      <c r="U593" s="1"/>
    </row>
    <row r="594" spans="1:21" ht="9.75" customHeight="1" x14ac:dyDescent="0.4">
      <c r="A594" s="1"/>
      <c r="B594" s="1"/>
      <c r="C594" s="220"/>
      <c r="D594" s="220" t="s">
        <v>374</v>
      </c>
      <c r="E594" s="220"/>
      <c r="F594" s="287"/>
      <c r="G594" s="288"/>
      <c r="H594" s="288"/>
      <c r="I594" s="288"/>
      <c r="J594" s="288"/>
      <c r="K594" s="288"/>
      <c r="L594" s="288"/>
      <c r="M594" s="288"/>
      <c r="N594" s="288"/>
      <c r="O594" s="289"/>
      <c r="P594" s="287"/>
      <c r="Q594" s="288"/>
      <c r="R594" s="290"/>
      <c r="S594" s="1"/>
      <c r="T594" s="1"/>
      <c r="U594" s="1"/>
    </row>
    <row r="595" spans="1:21" ht="9.75" customHeight="1" x14ac:dyDescent="0.4">
      <c r="A595" s="1"/>
      <c r="B595" s="1"/>
      <c r="C595" s="220"/>
      <c r="D595" s="220" t="s">
        <v>374</v>
      </c>
      <c r="E595" s="220"/>
      <c r="F595" s="287"/>
      <c r="G595" s="288"/>
      <c r="H595" s="288"/>
      <c r="I595" s="288"/>
      <c r="J595" s="288"/>
      <c r="K595" s="288"/>
      <c r="L595" s="288"/>
      <c r="M595" s="288"/>
      <c r="N595" s="288"/>
      <c r="O595" s="289"/>
      <c r="P595" s="287"/>
      <c r="Q595" s="288"/>
      <c r="R595" s="290"/>
      <c r="S595" s="1"/>
      <c r="T595" s="1"/>
      <c r="U595" s="1"/>
    </row>
    <row r="596" spans="1:21" ht="9.75" customHeight="1" x14ac:dyDescent="0.4">
      <c r="A596" s="1"/>
      <c r="B596" s="1"/>
      <c r="C596" s="220"/>
      <c r="D596" s="220" t="s">
        <v>374</v>
      </c>
      <c r="E596" s="220"/>
      <c r="F596" s="287"/>
      <c r="G596" s="288"/>
      <c r="H596" s="288"/>
      <c r="I596" s="288"/>
      <c r="J596" s="288"/>
      <c r="K596" s="288"/>
      <c r="L596" s="288"/>
      <c r="M596" s="288"/>
      <c r="N596" s="288"/>
      <c r="O596" s="289"/>
      <c r="P596" s="287"/>
      <c r="Q596" s="288"/>
      <c r="R596" s="290"/>
      <c r="S596" s="1"/>
      <c r="T596" s="1"/>
      <c r="U596" s="1"/>
    </row>
    <row r="597" spans="1:21" ht="9.75" customHeight="1" x14ac:dyDescent="0.4">
      <c r="A597" s="1"/>
      <c r="B597" s="1"/>
      <c r="C597" s="220"/>
      <c r="D597" s="220" t="s">
        <v>374</v>
      </c>
      <c r="E597" s="220"/>
      <c r="F597" s="287"/>
      <c r="G597" s="288"/>
      <c r="H597" s="288"/>
      <c r="I597" s="288"/>
      <c r="J597" s="288"/>
      <c r="K597" s="288"/>
      <c r="L597" s="288"/>
      <c r="M597" s="288"/>
      <c r="N597" s="288"/>
      <c r="O597" s="289"/>
      <c r="P597" s="287"/>
      <c r="Q597" s="288"/>
      <c r="R597" s="290"/>
      <c r="S597" s="1"/>
      <c r="T597" s="1"/>
      <c r="U597" s="1"/>
    </row>
    <row r="598" spans="1:21" ht="9.75" customHeight="1" x14ac:dyDescent="0.4">
      <c r="A598" s="1"/>
      <c r="B598" s="1"/>
      <c r="C598" s="220"/>
      <c r="D598" s="220" t="s">
        <v>374</v>
      </c>
      <c r="E598" s="220"/>
      <c r="F598" s="287"/>
      <c r="G598" s="288"/>
      <c r="H598" s="288"/>
      <c r="I598" s="288"/>
      <c r="J598" s="288"/>
      <c r="K598" s="288"/>
      <c r="L598" s="288"/>
      <c r="M598" s="288"/>
      <c r="N598" s="288"/>
      <c r="O598" s="289"/>
      <c r="P598" s="287"/>
      <c r="Q598" s="288"/>
      <c r="R598" s="290"/>
      <c r="S598" s="1"/>
      <c r="T598" s="1"/>
      <c r="U598" s="1"/>
    </row>
    <row r="599" spans="1:21" ht="9.75" customHeight="1" x14ac:dyDescent="0.4">
      <c r="A599" s="1"/>
      <c r="B599" s="1"/>
      <c r="C599" s="220"/>
      <c r="D599" s="220" t="s">
        <v>374</v>
      </c>
      <c r="E599" s="220"/>
      <c r="F599" s="287"/>
      <c r="G599" s="288"/>
      <c r="H599" s="288"/>
      <c r="I599" s="288"/>
      <c r="J599" s="288"/>
      <c r="K599" s="288"/>
      <c r="L599" s="288"/>
      <c r="M599" s="288"/>
      <c r="N599" s="288"/>
      <c r="O599" s="289"/>
      <c r="P599" s="287"/>
      <c r="Q599" s="288"/>
      <c r="R599" s="290"/>
      <c r="S599" s="1"/>
      <c r="T599" s="1"/>
      <c r="U599" s="1"/>
    </row>
    <row r="600" spans="1:21" ht="9.75" customHeight="1" x14ac:dyDescent="0.4">
      <c r="A600" s="1"/>
      <c r="B600" s="1"/>
      <c r="C600" s="220"/>
      <c r="D600" s="220" t="s">
        <v>310</v>
      </c>
      <c r="E600" s="220">
        <v>16</v>
      </c>
      <c r="F600" s="287">
        <v>14</v>
      </c>
      <c r="G600" s="288">
        <v>13</v>
      </c>
      <c r="H600" s="288">
        <v>14</v>
      </c>
      <c r="I600" s="288">
        <v>14</v>
      </c>
      <c r="J600" s="288">
        <v>13</v>
      </c>
      <c r="K600" s="288">
        <v>13</v>
      </c>
      <c r="L600" s="288">
        <v>14</v>
      </c>
      <c r="M600" s="288">
        <v>15</v>
      </c>
      <c r="N600" s="288">
        <v>15</v>
      </c>
      <c r="O600" s="289">
        <v>16</v>
      </c>
      <c r="P600" s="287">
        <f>MIN(F600:O600)</f>
        <v>13</v>
      </c>
      <c r="Q600" s="288">
        <f>E600-P600</f>
        <v>3</v>
      </c>
      <c r="R600" s="290">
        <f>Q600/E600</f>
        <v>0.1875</v>
      </c>
      <c r="S600" s="1"/>
      <c r="T600" s="1"/>
      <c r="U600" s="1"/>
    </row>
    <row r="601" spans="1:21" ht="9.75" customHeight="1" x14ac:dyDescent="0.4">
      <c r="A601" s="1"/>
      <c r="B601" s="1"/>
      <c r="C601" s="220"/>
      <c r="D601" s="220" t="s">
        <v>311</v>
      </c>
      <c r="E601" s="220"/>
      <c r="F601" s="287"/>
      <c r="G601" s="288"/>
      <c r="H601" s="288"/>
      <c r="I601" s="288"/>
      <c r="J601" s="288"/>
      <c r="K601" s="288"/>
      <c r="L601" s="288"/>
      <c r="M601" s="288"/>
      <c r="N601" s="288"/>
      <c r="O601" s="289"/>
      <c r="P601" s="287"/>
      <c r="Q601" s="288"/>
      <c r="R601" s="290"/>
      <c r="S601" s="1"/>
      <c r="T601" s="1"/>
      <c r="U601" s="1"/>
    </row>
    <row r="602" spans="1:21" ht="9.75" customHeight="1" x14ac:dyDescent="0.4">
      <c r="A602" s="1"/>
      <c r="B602" s="1"/>
      <c r="C602" s="220"/>
      <c r="D602" s="220" t="s">
        <v>312</v>
      </c>
      <c r="E602" s="220"/>
      <c r="F602" s="287"/>
      <c r="G602" s="288"/>
      <c r="H602" s="288"/>
      <c r="I602" s="288"/>
      <c r="J602" s="288"/>
      <c r="K602" s="288"/>
      <c r="L602" s="288"/>
      <c r="M602" s="288"/>
      <c r="N602" s="288"/>
      <c r="O602" s="289"/>
      <c r="P602" s="287"/>
      <c r="Q602" s="288"/>
      <c r="R602" s="290"/>
      <c r="S602" s="1"/>
      <c r="T602" s="1"/>
      <c r="U602" s="1"/>
    </row>
    <row r="603" spans="1:21" ht="9.75" customHeight="1" x14ac:dyDescent="0.4">
      <c r="A603" s="1"/>
      <c r="B603" s="1"/>
      <c r="C603" s="220"/>
      <c r="D603" s="220" t="s">
        <v>313</v>
      </c>
      <c r="E603" s="220"/>
      <c r="F603" s="287"/>
      <c r="G603" s="288"/>
      <c r="H603" s="288"/>
      <c r="I603" s="288"/>
      <c r="J603" s="288"/>
      <c r="K603" s="288"/>
      <c r="L603" s="288"/>
      <c r="M603" s="288"/>
      <c r="N603" s="288"/>
      <c r="O603" s="289"/>
      <c r="P603" s="287"/>
      <c r="Q603" s="288"/>
      <c r="R603" s="290"/>
      <c r="S603" s="1"/>
      <c r="T603" s="1"/>
      <c r="U603" s="1"/>
    </row>
    <row r="604" spans="1:21" ht="9.75" customHeight="1" x14ac:dyDescent="0.4">
      <c r="A604" s="1"/>
      <c r="B604" s="1" t="s">
        <v>395</v>
      </c>
      <c r="C604" s="221"/>
      <c r="D604" s="210" t="s">
        <v>314</v>
      </c>
      <c r="E604" s="210">
        <f t="shared" ref="E604:O604" si="86">SUM(E588:E603)</f>
        <v>191</v>
      </c>
      <c r="F604" s="211">
        <f t="shared" si="86"/>
        <v>117</v>
      </c>
      <c r="G604" s="212">
        <f t="shared" si="86"/>
        <v>94</v>
      </c>
      <c r="H604" s="212">
        <f t="shared" si="86"/>
        <v>81</v>
      </c>
      <c r="I604" s="212">
        <f t="shared" si="86"/>
        <v>66</v>
      </c>
      <c r="J604" s="212">
        <f t="shared" si="86"/>
        <v>29</v>
      </c>
      <c r="K604" s="212">
        <f t="shared" si="86"/>
        <v>34</v>
      </c>
      <c r="L604" s="212">
        <f t="shared" si="86"/>
        <v>50</v>
      </c>
      <c r="M604" s="212">
        <f t="shared" si="86"/>
        <v>131</v>
      </c>
      <c r="N604" s="212">
        <f t="shared" si="86"/>
        <v>143</v>
      </c>
      <c r="O604" s="295">
        <f t="shared" si="86"/>
        <v>170</v>
      </c>
      <c r="P604" s="211">
        <f t="shared" ref="P604:P605" si="87">MIN(F604:O604)</f>
        <v>29</v>
      </c>
      <c r="Q604" s="212">
        <f t="shared" ref="Q604:Q605" si="88">E604-P604</f>
        <v>162</v>
      </c>
      <c r="R604" s="296">
        <f t="shared" ref="R604:R605" si="89">Q604/E604</f>
        <v>0.84816753926701571</v>
      </c>
      <c r="S604" s="1"/>
      <c r="T604" s="1"/>
      <c r="U604" s="1"/>
    </row>
    <row r="605" spans="1:21" ht="9.75" customHeight="1" x14ac:dyDescent="0.4">
      <c r="A605" s="1"/>
      <c r="B605" s="1"/>
      <c r="C605" s="191" t="s">
        <v>175</v>
      </c>
      <c r="D605" s="191" t="s">
        <v>300</v>
      </c>
      <c r="E605" s="191">
        <v>58</v>
      </c>
      <c r="F605" s="283">
        <f>E605-1</f>
        <v>57</v>
      </c>
      <c r="G605" s="284">
        <f>E605-6</f>
        <v>52</v>
      </c>
      <c r="H605" s="284">
        <f>E605-13</f>
        <v>45</v>
      </c>
      <c r="I605" s="284">
        <f>E605-20</f>
        <v>38</v>
      </c>
      <c r="J605" s="284">
        <f>E605-34</f>
        <v>24</v>
      </c>
      <c r="K605" s="284">
        <f>E605-36</f>
        <v>22</v>
      </c>
      <c r="L605" s="284">
        <f>E605-41</f>
        <v>17</v>
      </c>
      <c r="M605" s="284">
        <v>8</v>
      </c>
      <c r="N605" s="284">
        <f>E605-23</f>
        <v>35</v>
      </c>
      <c r="O605" s="285">
        <f>E605-14</f>
        <v>44</v>
      </c>
      <c r="P605" s="287">
        <f t="shared" si="87"/>
        <v>8</v>
      </c>
      <c r="Q605" s="288">
        <f t="shared" si="88"/>
        <v>50</v>
      </c>
      <c r="R605" s="290">
        <f t="shared" si="89"/>
        <v>0.86206896551724133</v>
      </c>
      <c r="S605" s="1"/>
      <c r="T605" s="1"/>
      <c r="U605" s="1"/>
    </row>
    <row r="606" spans="1:21" ht="9.75" customHeight="1" x14ac:dyDescent="0.4">
      <c r="A606" s="1"/>
      <c r="B606" s="1"/>
      <c r="C606" s="220"/>
      <c r="D606" s="220" t="s">
        <v>301</v>
      </c>
      <c r="E606" s="220"/>
      <c r="F606" s="287"/>
      <c r="G606" s="288"/>
      <c r="H606" s="288"/>
      <c r="I606" s="288"/>
      <c r="J606" s="288"/>
      <c r="K606" s="288"/>
      <c r="L606" s="288"/>
      <c r="M606" s="288"/>
      <c r="N606" s="288"/>
      <c r="O606" s="289"/>
      <c r="P606" s="287"/>
      <c r="Q606" s="288"/>
      <c r="R606" s="290"/>
      <c r="S606" s="1"/>
      <c r="T606" s="1"/>
      <c r="U606" s="1"/>
    </row>
    <row r="607" spans="1:21" ht="9.75" customHeight="1" x14ac:dyDescent="0.4">
      <c r="A607" s="1"/>
      <c r="B607" s="1"/>
      <c r="C607" s="220"/>
      <c r="D607" s="220" t="s">
        <v>303</v>
      </c>
      <c r="E607" s="220"/>
      <c r="F607" s="287"/>
      <c r="G607" s="288"/>
      <c r="H607" s="288"/>
      <c r="I607" s="288"/>
      <c r="J607" s="288"/>
      <c r="K607" s="288"/>
      <c r="L607" s="288"/>
      <c r="M607" s="288"/>
      <c r="N607" s="288"/>
      <c r="O607" s="289"/>
      <c r="P607" s="287"/>
      <c r="Q607" s="288"/>
      <c r="R607" s="290"/>
      <c r="S607" s="1"/>
      <c r="T607" s="1"/>
      <c r="U607" s="1"/>
    </row>
    <row r="608" spans="1:21" ht="9.75" customHeight="1" x14ac:dyDescent="0.4">
      <c r="A608" s="1"/>
      <c r="B608" s="1"/>
      <c r="C608" s="220"/>
      <c r="D608" s="220" t="s">
        <v>421</v>
      </c>
      <c r="E608" s="287">
        <v>90</v>
      </c>
      <c r="F608" s="291">
        <f>E608-16</f>
        <v>74</v>
      </c>
      <c r="G608" s="292">
        <f>E608-31</f>
        <v>59</v>
      </c>
      <c r="H608" s="292">
        <v>0</v>
      </c>
      <c r="I608" s="292">
        <v>0</v>
      </c>
      <c r="J608" s="292">
        <v>0</v>
      </c>
      <c r="K608" s="288">
        <v>0</v>
      </c>
      <c r="L608" s="288">
        <v>0</v>
      </c>
      <c r="M608" s="288">
        <v>0</v>
      </c>
      <c r="N608" s="288">
        <v>6</v>
      </c>
      <c r="O608" s="289">
        <f>E608-26</f>
        <v>64</v>
      </c>
      <c r="P608" s="293">
        <f>MIN(F608:O608)</f>
        <v>0</v>
      </c>
      <c r="Q608" s="294">
        <f>E608-P608</f>
        <v>90</v>
      </c>
      <c r="R608" s="290">
        <f>Q608/E608</f>
        <v>1</v>
      </c>
      <c r="S608" s="1"/>
      <c r="T608" s="1"/>
      <c r="U608" s="1"/>
    </row>
    <row r="609" spans="1:21" ht="9.75" customHeight="1" x14ac:dyDescent="0.4">
      <c r="A609" s="1"/>
      <c r="B609" s="1"/>
      <c r="C609" s="220"/>
      <c r="D609" s="220" t="s">
        <v>369</v>
      </c>
      <c r="E609" s="220"/>
      <c r="F609" s="287"/>
      <c r="G609" s="288"/>
      <c r="H609" s="288"/>
      <c r="I609" s="288"/>
      <c r="J609" s="288"/>
      <c r="K609" s="288"/>
      <c r="L609" s="288"/>
      <c r="M609" s="288"/>
      <c r="N609" s="288"/>
      <c r="O609" s="289"/>
      <c r="P609" s="287"/>
      <c r="Q609" s="288"/>
      <c r="R609" s="290"/>
      <c r="S609" s="1"/>
      <c r="T609" s="1"/>
      <c r="U609" s="1"/>
    </row>
    <row r="610" spans="1:21" ht="9.75" customHeight="1" x14ac:dyDescent="0.4">
      <c r="A610" s="1"/>
      <c r="B610" s="1"/>
      <c r="C610" s="220"/>
      <c r="D610" s="220" t="s">
        <v>308</v>
      </c>
      <c r="E610" s="220">
        <v>3</v>
      </c>
      <c r="F610" s="287">
        <v>3</v>
      </c>
      <c r="G610" s="288">
        <v>3</v>
      </c>
      <c r="H610" s="288">
        <v>3</v>
      </c>
      <c r="I610" s="288">
        <v>3</v>
      </c>
      <c r="J610" s="288">
        <v>2</v>
      </c>
      <c r="K610" s="288">
        <v>2</v>
      </c>
      <c r="L610" s="288">
        <v>2</v>
      </c>
      <c r="M610" s="288">
        <v>3</v>
      </c>
      <c r="N610" s="288">
        <v>3</v>
      </c>
      <c r="O610" s="289">
        <v>3</v>
      </c>
      <c r="P610" s="287">
        <f>MIN(F610:O610)</f>
        <v>2</v>
      </c>
      <c r="Q610" s="288">
        <f>E610-P610</f>
        <v>1</v>
      </c>
      <c r="R610" s="290">
        <f>Q610/E610</f>
        <v>0.33333333333333331</v>
      </c>
      <c r="S610" s="1"/>
      <c r="T610" s="1"/>
      <c r="U610" s="1"/>
    </row>
    <row r="611" spans="1:21" ht="9.75" customHeight="1" x14ac:dyDescent="0.4">
      <c r="A611" s="1"/>
      <c r="B611" s="1"/>
      <c r="C611" s="220"/>
      <c r="D611" s="220" t="s">
        <v>374</v>
      </c>
      <c r="E611" s="220"/>
      <c r="F611" s="287"/>
      <c r="G611" s="288"/>
      <c r="H611" s="288"/>
      <c r="I611" s="288"/>
      <c r="J611" s="288"/>
      <c r="K611" s="288"/>
      <c r="L611" s="288"/>
      <c r="M611" s="288"/>
      <c r="N611" s="288"/>
      <c r="O611" s="289"/>
      <c r="P611" s="287"/>
      <c r="Q611" s="288"/>
      <c r="R611" s="290"/>
      <c r="S611" s="1"/>
      <c r="T611" s="1"/>
      <c r="U611" s="1"/>
    </row>
    <row r="612" spans="1:21" ht="9.75" customHeight="1" x14ac:dyDescent="0.4">
      <c r="A612" s="1"/>
      <c r="B612" s="1"/>
      <c r="C612" s="220"/>
      <c r="D612" s="220" t="s">
        <v>374</v>
      </c>
      <c r="E612" s="220"/>
      <c r="F612" s="287"/>
      <c r="G612" s="288"/>
      <c r="H612" s="288"/>
      <c r="I612" s="288"/>
      <c r="J612" s="288"/>
      <c r="K612" s="288"/>
      <c r="L612" s="288"/>
      <c r="M612" s="288"/>
      <c r="N612" s="288"/>
      <c r="O612" s="289"/>
      <c r="P612" s="287"/>
      <c r="Q612" s="288"/>
      <c r="R612" s="290"/>
      <c r="S612" s="1"/>
      <c r="T612" s="1"/>
      <c r="U612" s="1"/>
    </row>
    <row r="613" spans="1:21" ht="9.75" customHeight="1" x14ac:dyDescent="0.4">
      <c r="A613" s="1"/>
      <c r="B613" s="1"/>
      <c r="C613" s="220"/>
      <c r="D613" s="220" t="s">
        <v>374</v>
      </c>
      <c r="E613" s="220"/>
      <c r="F613" s="287"/>
      <c r="G613" s="288"/>
      <c r="H613" s="288"/>
      <c r="I613" s="288"/>
      <c r="J613" s="288"/>
      <c r="K613" s="288"/>
      <c r="L613" s="288"/>
      <c r="M613" s="288"/>
      <c r="N613" s="288"/>
      <c r="O613" s="289"/>
      <c r="P613" s="287"/>
      <c r="Q613" s="288"/>
      <c r="R613" s="290"/>
      <c r="S613" s="1"/>
      <c r="T613" s="1"/>
      <c r="U613" s="1"/>
    </row>
    <row r="614" spans="1:21" ht="9.75" customHeight="1" x14ac:dyDescent="0.4">
      <c r="A614" s="1"/>
      <c r="B614" s="1"/>
      <c r="C614" s="220"/>
      <c r="D614" s="220" t="s">
        <v>374</v>
      </c>
      <c r="E614" s="220"/>
      <c r="F614" s="287"/>
      <c r="G614" s="288"/>
      <c r="H614" s="288"/>
      <c r="I614" s="288"/>
      <c r="J614" s="288"/>
      <c r="K614" s="288"/>
      <c r="L614" s="288"/>
      <c r="M614" s="288"/>
      <c r="N614" s="288"/>
      <c r="O614" s="289"/>
      <c r="P614" s="287"/>
      <c r="Q614" s="288"/>
      <c r="R614" s="290"/>
      <c r="S614" s="1"/>
      <c r="T614" s="1"/>
      <c r="U614" s="1"/>
    </row>
    <row r="615" spans="1:21" ht="9.75" customHeight="1" x14ac:dyDescent="0.4">
      <c r="A615" s="1"/>
      <c r="B615" s="1"/>
      <c r="C615" s="220"/>
      <c r="D615" s="220" t="s">
        <v>374</v>
      </c>
      <c r="E615" s="220"/>
      <c r="F615" s="287"/>
      <c r="G615" s="288"/>
      <c r="H615" s="288"/>
      <c r="I615" s="288"/>
      <c r="J615" s="288"/>
      <c r="K615" s="288"/>
      <c r="L615" s="288"/>
      <c r="M615" s="288"/>
      <c r="N615" s="288"/>
      <c r="O615" s="289"/>
      <c r="P615" s="287"/>
      <c r="Q615" s="288"/>
      <c r="R615" s="290"/>
      <c r="S615" s="1"/>
      <c r="T615" s="1"/>
      <c r="U615" s="1"/>
    </row>
    <row r="616" spans="1:21" ht="9.75" customHeight="1" x14ac:dyDescent="0.4">
      <c r="A616" s="1"/>
      <c r="B616" s="1"/>
      <c r="C616" s="220"/>
      <c r="D616" s="220" t="s">
        <v>374</v>
      </c>
      <c r="E616" s="220"/>
      <c r="F616" s="287"/>
      <c r="G616" s="288"/>
      <c r="H616" s="288"/>
      <c r="I616" s="288"/>
      <c r="J616" s="288"/>
      <c r="K616" s="288"/>
      <c r="L616" s="288"/>
      <c r="M616" s="288"/>
      <c r="N616" s="288"/>
      <c r="O616" s="289"/>
      <c r="P616" s="287"/>
      <c r="Q616" s="288"/>
      <c r="R616" s="290"/>
      <c r="S616" s="1"/>
      <c r="T616" s="1"/>
      <c r="U616" s="1"/>
    </row>
    <row r="617" spans="1:21" ht="9.75" customHeight="1" x14ac:dyDescent="0.4">
      <c r="A617" s="1"/>
      <c r="B617" s="1"/>
      <c r="C617" s="220"/>
      <c r="D617" s="220" t="s">
        <v>310</v>
      </c>
      <c r="E617" s="220">
        <v>3</v>
      </c>
      <c r="F617" s="287">
        <v>3</v>
      </c>
      <c r="G617" s="288">
        <v>3</v>
      </c>
      <c r="H617" s="288">
        <v>2</v>
      </c>
      <c r="I617" s="288">
        <v>2</v>
      </c>
      <c r="J617" s="288">
        <v>2</v>
      </c>
      <c r="K617" s="288">
        <v>2</v>
      </c>
      <c r="L617" s="288">
        <v>2</v>
      </c>
      <c r="M617" s="288">
        <v>3</v>
      </c>
      <c r="N617" s="288">
        <v>3</v>
      </c>
      <c r="O617" s="289">
        <v>3</v>
      </c>
      <c r="P617" s="287">
        <f>MIN(F617:O617)</f>
        <v>2</v>
      </c>
      <c r="Q617" s="288">
        <f>E617-P617</f>
        <v>1</v>
      </c>
      <c r="R617" s="290">
        <f>Q617/E617</f>
        <v>0.33333333333333331</v>
      </c>
      <c r="S617" s="1"/>
      <c r="T617" s="1"/>
      <c r="U617" s="1"/>
    </row>
    <row r="618" spans="1:21" ht="9.75" customHeight="1" x14ac:dyDescent="0.4">
      <c r="A618" s="1"/>
      <c r="B618" s="1"/>
      <c r="C618" s="220"/>
      <c r="D618" s="220" t="s">
        <v>311</v>
      </c>
      <c r="E618" s="220"/>
      <c r="F618" s="287"/>
      <c r="G618" s="288"/>
      <c r="H618" s="288"/>
      <c r="I618" s="288"/>
      <c r="J618" s="288"/>
      <c r="K618" s="288"/>
      <c r="L618" s="288"/>
      <c r="M618" s="288"/>
      <c r="N618" s="288"/>
      <c r="O618" s="289"/>
      <c r="P618" s="287"/>
      <c r="Q618" s="288"/>
      <c r="R618" s="290"/>
      <c r="S618" s="1"/>
      <c r="T618" s="1"/>
      <c r="U618" s="1"/>
    </row>
    <row r="619" spans="1:21" ht="9.75" customHeight="1" x14ac:dyDescent="0.4">
      <c r="A619" s="1"/>
      <c r="B619" s="1"/>
      <c r="C619" s="220"/>
      <c r="D619" s="220" t="s">
        <v>312</v>
      </c>
      <c r="E619" s="220"/>
      <c r="F619" s="287"/>
      <c r="G619" s="288"/>
      <c r="H619" s="288"/>
      <c r="I619" s="288"/>
      <c r="J619" s="288"/>
      <c r="K619" s="288"/>
      <c r="L619" s="288"/>
      <c r="M619" s="288"/>
      <c r="N619" s="288"/>
      <c r="O619" s="289"/>
      <c r="P619" s="287"/>
      <c r="Q619" s="288"/>
      <c r="R619" s="290"/>
      <c r="S619" s="1"/>
      <c r="T619" s="1"/>
      <c r="U619" s="1"/>
    </row>
    <row r="620" spans="1:21" ht="9.75" customHeight="1" x14ac:dyDescent="0.4">
      <c r="A620" s="1"/>
      <c r="B620" s="1"/>
      <c r="C620" s="220"/>
      <c r="D620" s="220" t="s">
        <v>313</v>
      </c>
      <c r="E620" s="220"/>
      <c r="F620" s="287"/>
      <c r="G620" s="288"/>
      <c r="H620" s="288"/>
      <c r="I620" s="288"/>
      <c r="J620" s="288"/>
      <c r="K620" s="288"/>
      <c r="L620" s="288"/>
      <c r="M620" s="288"/>
      <c r="N620" s="288"/>
      <c r="O620" s="289"/>
      <c r="P620" s="287"/>
      <c r="Q620" s="288"/>
      <c r="R620" s="290"/>
      <c r="S620" s="1"/>
      <c r="T620" s="1"/>
      <c r="U620" s="1"/>
    </row>
    <row r="621" spans="1:21" ht="9.75" customHeight="1" x14ac:dyDescent="0.4">
      <c r="A621" s="1"/>
      <c r="B621" s="1" t="s">
        <v>395</v>
      </c>
      <c r="C621" s="221"/>
      <c r="D621" s="210" t="s">
        <v>314</v>
      </c>
      <c r="E621" s="210">
        <f t="shared" ref="E621:O621" si="90">SUM(E605:E620)</f>
        <v>154</v>
      </c>
      <c r="F621" s="211">
        <f t="shared" si="90"/>
        <v>137</v>
      </c>
      <c r="G621" s="212">
        <f t="shared" si="90"/>
        <v>117</v>
      </c>
      <c r="H621" s="212">
        <f t="shared" si="90"/>
        <v>50</v>
      </c>
      <c r="I621" s="212">
        <f t="shared" si="90"/>
        <v>43</v>
      </c>
      <c r="J621" s="212">
        <f t="shared" si="90"/>
        <v>28</v>
      </c>
      <c r="K621" s="212">
        <f t="shared" si="90"/>
        <v>26</v>
      </c>
      <c r="L621" s="212">
        <f t="shared" si="90"/>
        <v>21</v>
      </c>
      <c r="M621" s="212">
        <f t="shared" si="90"/>
        <v>14</v>
      </c>
      <c r="N621" s="212">
        <f t="shared" si="90"/>
        <v>47</v>
      </c>
      <c r="O621" s="295">
        <f t="shared" si="90"/>
        <v>114</v>
      </c>
      <c r="P621" s="211">
        <f t="shared" ref="P621:P622" si="91">MIN(F621:O621)</f>
        <v>14</v>
      </c>
      <c r="Q621" s="212">
        <f t="shared" ref="Q621:Q622" si="92">E621-P621</f>
        <v>140</v>
      </c>
      <c r="R621" s="296">
        <f t="shared" ref="R621:R622" si="93">Q621/E621</f>
        <v>0.90909090909090906</v>
      </c>
      <c r="S621" s="1"/>
      <c r="T621" s="1"/>
      <c r="U621" s="1"/>
    </row>
    <row r="622" spans="1:21" ht="9.75" customHeight="1" x14ac:dyDescent="0.4">
      <c r="A622" s="1"/>
      <c r="B622" s="1"/>
      <c r="C622" s="191" t="s">
        <v>54</v>
      </c>
      <c r="D622" s="191" t="s">
        <v>300</v>
      </c>
      <c r="E622" s="17">
        <v>24</v>
      </c>
      <c r="F622" s="32">
        <v>9</v>
      </c>
      <c r="G622" s="6">
        <v>3</v>
      </c>
      <c r="H622" s="6">
        <v>0</v>
      </c>
      <c r="I622" s="6">
        <v>0</v>
      </c>
      <c r="J622" s="6">
        <v>2</v>
      </c>
      <c r="K622" s="79">
        <v>0</v>
      </c>
      <c r="L622" s="79">
        <v>1</v>
      </c>
      <c r="M622" s="79">
        <v>2</v>
      </c>
      <c r="N622" s="79">
        <v>6</v>
      </c>
      <c r="O622" s="122">
        <v>6</v>
      </c>
      <c r="P622" s="32">
        <f t="shared" si="91"/>
        <v>0</v>
      </c>
      <c r="Q622" s="6">
        <f t="shared" si="92"/>
        <v>24</v>
      </c>
      <c r="R622" s="59">
        <f t="shared" si="93"/>
        <v>1</v>
      </c>
      <c r="S622" s="1"/>
      <c r="T622" s="1"/>
      <c r="U622" s="1"/>
    </row>
    <row r="623" spans="1:21" ht="9.75" customHeight="1" x14ac:dyDescent="0.4">
      <c r="A623" s="1"/>
      <c r="B623" s="1"/>
      <c r="C623" s="220"/>
      <c r="D623" s="17" t="s">
        <v>301</v>
      </c>
      <c r="E623" s="17"/>
      <c r="F623" s="32"/>
      <c r="G623" s="6"/>
      <c r="H623" s="6"/>
      <c r="I623" s="6"/>
      <c r="J623" s="6"/>
      <c r="K623" s="192"/>
      <c r="L623" s="192"/>
      <c r="M623" s="192"/>
      <c r="N623" s="192"/>
      <c r="O623" s="193"/>
      <c r="P623" s="32"/>
      <c r="Q623" s="6"/>
      <c r="R623" s="59"/>
      <c r="S623" s="1"/>
      <c r="T623" s="1"/>
      <c r="U623" s="1"/>
    </row>
    <row r="624" spans="1:21" ht="9.75" customHeight="1" x14ac:dyDescent="0.4">
      <c r="A624" s="1"/>
      <c r="B624" s="1"/>
      <c r="C624" s="220"/>
      <c r="D624" s="17" t="s">
        <v>303</v>
      </c>
      <c r="E624" s="17"/>
      <c r="F624" s="32"/>
      <c r="G624" s="6"/>
      <c r="H624" s="6"/>
      <c r="I624" s="6"/>
      <c r="J624" s="6"/>
      <c r="K624" s="192"/>
      <c r="L624" s="192"/>
      <c r="M624" s="192"/>
      <c r="N624" s="192"/>
      <c r="O624" s="193"/>
      <c r="P624" s="32"/>
      <c r="Q624" s="6"/>
      <c r="R624" s="59"/>
      <c r="S624" s="1"/>
      <c r="T624" s="1"/>
      <c r="U624" s="1"/>
    </row>
    <row r="625" spans="1:21" ht="9.75" customHeight="1" x14ac:dyDescent="0.4">
      <c r="A625" s="1"/>
      <c r="B625" s="1"/>
      <c r="C625" s="220"/>
      <c r="D625" s="17" t="s">
        <v>369</v>
      </c>
      <c r="E625" s="17"/>
      <c r="F625" s="32"/>
      <c r="G625" s="6"/>
      <c r="H625" s="6"/>
      <c r="I625" s="6"/>
      <c r="J625" s="6"/>
      <c r="K625" s="192"/>
      <c r="L625" s="192"/>
      <c r="M625" s="192"/>
      <c r="N625" s="192"/>
      <c r="O625" s="193"/>
      <c r="P625" s="32"/>
      <c r="Q625" s="6"/>
      <c r="R625" s="59"/>
      <c r="S625" s="1"/>
      <c r="T625" s="1"/>
      <c r="U625" s="1"/>
    </row>
    <row r="626" spans="1:21" ht="9.75" customHeight="1" x14ac:dyDescent="0.4">
      <c r="A626" s="1"/>
      <c r="B626" s="1"/>
      <c r="C626" s="220"/>
      <c r="D626" s="17" t="s">
        <v>369</v>
      </c>
      <c r="E626" s="17"/>
      <c r="F626" s="32"/>
      <c r="G626" s="6"/>
      <c r="H626" s="6"/>
      <c r="I626" s="6"/>
      <c r="J626" s="6"/>
      <c r="K626" s="192"/>
      <c r="L626" s="192"/>
      <c r="M626" s="192"/>
      <c r="N626" s="192"/>
      <c r="O626" s="193"/>
      <c r="P626" s="32"/>
      <c r="Q626" s="6"/>
      <c r="R626" s="59"/>
      <c r="S626" s="1"/>
      <c r="T626" s="1"/>
      <c r="U626" s="1"/>
    </row>
    <row r="627" spans="1:21" ht="9.75" customHeight="1" x14ac:dyDescent="0.4">
      <c r="A627" s="1"/>
      <c r="B627" s="1"/>
      <c r="C627" s="220"/>
      <c r="D627" s="17" t="s">
        <v>308</v>
      </c>
      <c r="E627" s="17">
        <v>7</v>
      </c>
      <c r="F627" s="32">
        <v>1</v>
      </c>
      <c r="G627" s="6">
        <v>1</v>
      </c>
      <c r="H627" s="6">
        <v>1</v>
      </c>
      <c r="I627" s="6">
        <v>1</v>
      </c>
      <c r="J627" s="6">
        <v>1</v>
      </c>
      <c r="K627" s="74">
        <v>0</v>
      </c>
      <c r="L627" s="74">
        <v>0</v>
      </c>
      <c r="M627" s="74">
        <v>0</v>
      </c>
      <c r="N627" s="74">
        <v>0</v>
      </c>
      <c r="O627" s="123">
        <v>0</v>
      </c>
      <c r="P627" s="32">
        <f>MIN(F627:O627)</f>
        <v>0</v>
      </c>
      <c r="Q627" s="6">
        <f>E627-P627</f>
        <v>7</v>
      </c>
      <c r="R627" s="59">
        <f>Q627/E627</f>
        <v>1</v>
      </c>
      <c r="S627" s="1"/>
      <c r="T627" s="1"/>
      <c r="U627" s="1"/>
    </row>
    <row r="628" spans="1:21" ht="9.75" customHeight="1" x14ac:dyDescent="0.4">
      <c r="A628" s="1"/>
      <c r="B628" s="1"/>
      <c r="C628" s="220"/>
      <c r="D628" s="17" t="s">
        <v>372</v>
      </c>
      <c r="E628" s="17"/>
      <c r="F628" s="32"/>
      <c r="G628" s="6"/>
      <c r="H628" s="6"/>
      <c r="I628" s="6"/>
      <c r="J628" s="6"/>
      <c r="K628" s="192"/>
      <c r="L628" s="192"/>
      <c r="M628" s="192"/>
      <c r="N628" s="192"/>
      <c r="O628" s="193"/>
      <c r="P628" s="32"/>
      <c r="Q628" s="6"/>
      <c r="R628" s="59"/>
      <c r="S628" s="1"/>
      <c r="T628" s="1"/>
      <c r="U628" s="1"/>
    </row>
    <row r="629" spans="1:21" ht="9.75" customHeight="1" x14ac:dyDescent="0.4">
      <c r="A629" s="1"/>
      <c r="B629" s="1"/>
      <c r="C629" s="220"/>
      <c r="D629" s="17" t="s">
        <v>424</v>
      </c>
      <c r="E629" s="17">
        <v>3</v>
      </c>
      <c r="F629" s="32">
        <v>2</v>
      </c>
      <c r="G629" s="6">
        <v>2</v>
      </c>
      <c r="H629" s="6">
        <v>1</v>
      </c>
      <c r="I629" s="6">
        <v>2</v>
      </c>
      <c r="J629" s="6">
        <v>0</v>
      </c>
      <c r="K629" s="74">
        <v>1</v>
      </c>
      <c r="L629" s="74">
        <v>1</v>
      </c>
      <c r="M629" s="74">
        <v>1</v>
      </c>
      <c r="N629" s="74">
        <v>2</v>
      </c>
      <c r="O629" s="123">
        <v>2</v>
      </c>
      <c r="P629" s="32">
        <f>MIN(F629:O629)</f>
        <v>0</v>
      </c>
      <c r="Q629" s="6">
        <f>E629-P629</f>
        <v>3</v>
      </c>
      <c r="R629" s="59">
        <f>Q629/E629</f>
        <v>1</v>
      </c>
      <c r="S629" s="1"/>
      <c r="T629" s="1"/>
      <c r="U629" s="1"/>
    </row>
    <row r="630" spans="1:21" ht="9.75" customHeight="1" x14ac:dyDescent="0.4">
      <c r="A630" s="1"/>
      <c r="B630" s="1"/>
      <c r="C630" s="220"/>
      <c r="D630" s="17" t="s">
        <v>374</v>
      </c>
      <c r="E630" s="17"/>
      <c r="F630" s="32"/>
      <c r="G630" s="6"/>
      <c r="H630" s="6"/>
      <c r="I630" s="6"/>
      <c r="J630" s="6"/>
      <c r="K630" s="6"/>
      <c r="L630" s="6"/>
      <c r="M630" s="6"/>
      <c r="N630" s="6"/>
      <c r="O630" s="31"/>
      <c r="P630" s="32"/>
      <c r="Q630" s="6"/>
      <c r="R630" s="59"/>
      <c r="S630" s="1"/>
      <c r="T630" s="1"/>
      <c r="U630" s="1"/>
    </row>
    <row r="631" spans="1:21" ht="9.75" customHeight="1" x14ac:dyDescent="0.4">
      <c r="A631" s="1"/>
      <c r="B631" s="1"/>
      <c r="C631" s="220"/>
      <c r="D631" s="17" t="s">
        <v>374</v>
      </c>
      <c r="E631" s="17"/>
      <c r="F631" s="32"/>
      <c r="G631" s="6"/>
      <c r="H631" s="6"/>
      <c r="I631" s="6"/>
      <c r="J631" s="6"/>
      <c r="K631" s="6"/>
      <c r="L631" s="6"/>
      <c r="M631" s="6"/>
      <c r="N631" s="6"/>
      <c r="O631" s="31"/>
      <c r="P631" s="32"/>
      <c r="Q631" s="6"/>
      <c r="R631" s="59"/>
      <c r="S631" s="1"/>
      <c r="T631" s="1"/>
      <c r="U631" s="1"/>
    </row>
    <row r="632" spans="1:21" ht="9.75" customHeight="1" x14ac:dyDescent="0.4">
      <c r="A632" s="1"/>
      <c r="B632" s="1"/>
      <c r="C632" s="220"/>
      <c r="D632" s="17" t="s">
        <v>374</v>
      </c>
      <c r="E632" s="17"/>
      <c r="F632" s="32"/>
      <c r="G632" s="6"/>
      <c r="H632" s="6"/>
      <c r="I632" s="6"/>
      <c r="J632" s="6"/>
      <c r="K632" s="6"/>
      <c r="L632" s="6"/>
      <c r="M632" s="6"/>
      <c r="N632" s="6"/>
      <c r="O632" s="31"/>
      <c r="P632" s="32"/>
      <c r="Q632" s="6"/>
      <c r="R632" s="59"/>
      <c r="S632" s="1"/>
      <c r="T632" s="1"/>
      <c r="U632" s="1"/>
    </row>
    <row r="633" spans="1:21" ht="9.75" customHeight="1" x14ac:dyDescent="0.4">
      <c r="A633" s="1"/>
      <c r="B633" s="1"/>
      <c r="C633" s="17"/>
      <c r="D633" s="17" t="s">
        <v>374</v>
      </c>
      <c r="E633" s="17"/>
      <c r="F633" s="32"/>
      <c r="G633" s="6"/>
      <c r="H633" s="6"/>
      <c r="I633" s="6"/>
      <c r="J633" s="6"/>
      <c r="K633" s="6"/>
      <c r="L633" s="6"/>
      <c r="M633" s="6"/>
      <c r="N633" s="6"/>
      <c r="O633" s="31"/>
      <c r="P633" s="32"/>
      <c r="Q633" s="6"/>
      <c r="R633" s="59"/>
      <c r="S633" s="1"/>
      <c r="T633" s="1"/>
      <c r="U633" s="1"/>
    </row>
    <row r="634" spans="1:21" ht="9.75" customHeight="1" x14ac:dyDescent="0.4">
      <c r="A634" s="1"/>
      <c r="B634" s="1"/>
      <c r="C634" s="17"/>
      <c r="D634" s="17" t="s">
        <v>310</v>
      </c>
      <c r="E634" s="17"/>
      <c r="F634" s="32"/>
      <c r="G634" s="6"/>
      <c r="H634" s="6"/>
      <c r="I634" s="6"/>
      <c r="J634" s="6"/>
      <c r="K634" s="6"/>
      <c r="L634" s="6"/>
      <c r="M634" s="6"/>
      <c r="N634" s="6"/>
      <c r="O634" s="31"/>
      <c r="P634" s="32"/>
      <c r="Q634" s="6"/>
      <c r="R634" s="59"/>
      <c r="S634" s="1"/>
      <c r="T634" s="1"/>
      <c r="U634" s="1"/>
    </row>
    <row r="635" spans="1:21" ht="9.75" customHeight="1" x14ac:dyDescent="0.4">
      <c r="A635" s="1"/>
      <c r="B635" s="1"/>
      <c r="C635" s="17"/>
      <c r="D635" s="17" t="s">
        <v>311</v>
      </c>
      <c r="E635" s="17"/>
      <c r="F635" s="32"/>
      <c r="G635" s="6"/>
      <c r="H635" s="6"/>
      <c r="I635" s="6"/>
      <c r="J635" s="6"/>
      <c r="K635" s="6"/>
      <c r="L635" s="6"/>
      <c r="M635" s="6"/>
      <c r="N635" s="6"/>
      <c r="O635" s="31"/>
      <c r="P635" s="32"/>
      <c r="Q635" s="6"/>
      <c r="R635" s="59"/>
      <c r="S635" s="1"/>
      <c r="T635" s="1"/>
      <c r="U635" s="1"/>
    </row>
    <row r="636" spans="1:21" ht="9.75" customHeight="1" x14ac:dyDescent="0.4">
      <c r="A636" s="1"/>
      <c r="B636" s="1"/>
      <c r="C636" s="17"/>
      <c r="D636" s="17" t="s">
        <v>312</v>
      </c>
      <c r="E636" s="17"/>
      <c r="F636" s="32"/>
      <c r="G636" s="6"/>
      <c r="H636" s="6"/>
      <c r="I636" s="6"/>
      <c r="J636" s="6"/>
      <c r="K636" s="6"/>
      <c r="L636" s="6"/>
      <c r="M636" s="6"/>
      <c r="N636" s="6"/>
      <c r="O636" s="31"/>
      <c r="P636" s="32"/>
      <c r="Q636" s="6"/>
      <c r="R636" s="59"/>
      <c r="S636" s="1"/>
      <c r="T636" s="1"/>
      <c r="U636" s="1"/>
    </row>
    <row r="637" spans="1:21" ht="9.75" customHeight="1" x14ac:dyDescent="0.4">
      <c r="A637" s="1"/>
      <c r="B637" s="1"/>
      <c r="C637" s="17"/>
      <c r="D637" s="17" t="s">
        <v>313</v>
      </c>
      <c r="E637" s="17"/>
      <c r="F637" s="32"/>
      <c r="G637" s="6"/>
      <c r="H637" s="6"/>
      <c r="I637" s="6"/>
      <c r="J637" s="6"/>
      <c r="K637" s="6"/>
      <c r="L637" s="6"/>
      <c r="M637" s="6"/>
      <c r="N637" s="6"/>
      <c r="O637" s="31"/>
      <c r="P637" s="32"/>
      <c r="Q637" s="6"/>
      <c r="R637" s="59"/>
      <c r="S637" s="1"/>
      <c r="T637" s="1"/>
      <c r="U637" s="1"/>
    </row>
    <row r="638" spans="1:21" ht="9.75" customHeight="1" x14ac:dyDescent="0.4">
      <c r="A638" s="1"/>
      <c r="B638" s="1" t="s">
        <v>395</v>
      </c>
      <c r="C638" s="34"/>
      <c r="D638" s="65" t="s">
        <v>314</v>
      </c>
      <c r="E638" s="65">
        <f t="shared" ref="E638:O638" si="94">SUM(E622:E637)</f>
        <v>34</v>
      </c>
      <c r="F638" s="104">
        <f t="shared" si="94"/>
        <v>12</v>
      </c>
      <c r="G638" s="128">
        <f t="shared" si="94"/>
        <v>6</v>
      </c>
      <c r="H638" s="128">
        <f t="shared" si="94"/>
        <v>2</v>
      </c>
      <c r="I638" s="128">
        <f t="shared" si="94"/>
        <v>3</v>
      </c>
      <c r="J638" s="128">
        <f t="shared" si="94"/>
        <v>3</v>
      </c>
      <c r="K638" s="71">
        <f t="shared" si="94"/>
        <v>1</v>
      </c>
      <c r="L638" s="71">
        <f t="shared" si="94"/>
        <v>2</v>
      </c>
      <c r="M638" s="71">
        <f t="shared" si="94"/>
        <v>3</v>
      </c>
      <c r="N638" s="71">
        <f t="shared" si="94"/>
        <v>8</v>
      </c>
      <c r="O638" s="157">
        <f t="shared" si="94"/>
        <v>8</v>
      </c>
      <c r="P638" s="104">
        <f>MIN(F638:O638)</f>
        <v>1</v>
      </c>
      <c r="Q638" s="128">
        <f>E638-P638</f>
        <v>33</v>
      </c>
      <c r="R638" s="72">
        <f>Q638/E638</f>
        <v>0.97058823529411764</v>
      </c>
      <c r="S638" s="1"/>
      <c r="T638" s="1"/>
      <c r="U638" s="1"/>
    </row>
    <row r="639" spans="1:21" ht="9.75" customHeight="1" x14ac:dyDescent="0.4">
      <c r="A639" s="1"/>
      <c r="B639" s="1"/>
      <c r="C639" s="19" t="s">
        <v>75</v>
      </c>
      <c r="D639" s="19" t="s">
        <v>300</v>
      </c>
      <c r="E639" s="19"/>
      <c r="F639" s="133"/>
      <c r="G639" s="222"/>
      <c r="H639" s="222"/>
      <c r="I639" s="222"/>
      <c r="J639" s="222"/>
      <c r="K639" s="222"/>
      <c r="L639" s="222"/>
      <c r="M639" s="222"/>
      <c r="N639" s="222"/>
      <c r="O639" s="223"/>
      <c r="P639" s="133"/>
      <c r="Q639" s="222"/>
      <c r="R639" s="224"/>
      <c r="S639" s="1"/>
      <c r="T639" s="1"/>
      <c r="U639" s="1"/>
    </row>
    <row r="640" spans="1:21" ht="9.75" customHeight="1" x14ac:dyDescent="0.4">
      <c r="A640" s="1"/>
      <c r="B640" s="1"/>
      <c r="C640" s="24" t="s">
        <v>330</v>
      </c>
      <c r="D640" s="24" t="s">
        <v>301</v>
      </c>
      <c r="E640" s="24"/>
      <c r="F640" s="134"/>
      <c r="G640" s="135"/>
      <c r="H640" s="135"/>
      <c r="I640" s="135"/>
      <c r="J640" s="135"/>
      <c r="K640" s="135"/>
      <c r="L640" s="135"/>
      <c r="M640" s="135"/>
      <c r="N640" s="135"/>
      <c r="O640" s="136"/>
      <c r="P640" s="134"/>
      <c r="Q640" s="135"/>
      <c r="R640" s="137"/>
      <c r="S640" s="1"/>
      <c r="T640" s="1"/>
      <c r="U640" s="1"/>
    </row>
    <row r="641" spans="1:21" ht="9.75" customHeight="1" x14ac:dyDescent="0.4">
      <c r="A641" s="1"/>
      <c r="B641" s="1"/>
      <c r="C641" s="24" t="s">
        <v>403</v>
      </c>
      <c r="D641" s="24" t="s">
        <v>303</v>
      </c>
      <c r="E641" s="24"/>
      <c r="F641" s="134"/>
      <c r="G641" s="135"/>
      <c r="H641" s="135"/>
      <c r="I641" s="135"/>
      <c r="J641" s="135"/>
      <c r="K641" s="135"/>
      <c r="L641" s="135"/>
      <c r="M641" s="135"/>
      <c r="N641" s="135"/>
      <c r="O641" s="136"/>
      <c r="P641" s="134"/>
      <c r="Q641" s="135"/>
      <c r="R641" s="137"/>
      <c r="S641" s="1"/>
      <c r="T641" s="1"/>
      <c r="U641" s="1"/>
    </row>
    <row r="642" spans="1:21" ht="9.75" customHeight="1" x14ac:dyDescent="0.4">
      <c r="A642" s="1"/>
      <c r="B642" s="1"/>
      <c r="C642" s="24" t="s">
        <v>384</v>
      </c>
      <c r="D642" s="24" t="s">
        <v>369</v>
      </c>
      <c r="E642" s="24"/>
      <c r="F642" s="134"/>
      <c r="G642" s="135"/>
      <c r="H642" s="135"/>
      <c r="I642" s="135"/>
      <c r="J642" s="135"/>
      <c r="K642" s="135"/>
      <c r="L642" s="135"/>
      <c r="M642" s="135"/>
      <c r="N642" s="135"/>
      <c r="O642" s="136"/>
      <c r="P642" s="134"/>
      <c r="Q642" s="135"/>
      <c r="R642" s="137"/>
      <c r="S642" s="1"/>
      <c r="T642" s="1"/>
      <c r="U642" s="1"/>
    </row>
    <row r="643" spans="1:21" ht="9.75" customHeight="1" x14ac:dyDescent="0.4">
      <c r="A643" s="1"/>
      <c r="B643" s="1"/>
      <c r="C643" s="24"/>
      <c r="D643" s="24" t="s">
        <v>369</v>
      </c>
      <c r="E643" s="24"/>
      <c r="F643" s="134"/>
      <c r="G643" s="135"/>
      <c r="H643" s="135"/>
      <c r="I643" s="135"/>
      <c r="J643" s="135"/>
      <c r="K643" s="135"/>
      <c r="L643" s="135"/>
      <c r="M643" s="135"/>
      <c r="N643" s="135"/>
      <c r="O643" s="136"/>
      <c r="P643" s="134"/>
      <c r="Q643" s="135"/>
      <c r="R643" s="137"/>
      <c r="S643" s="1"/>
      <c r="T643" s="1"/>
      <c r="U643" s="1"/>
    </row>
    <row r="644" spans="1:21" ht="9.75" customHeight="1" x14ac:dyDescent="0.4">
      <c r="A644" s="1"/>
      <c r="B644" s="1"/>
      <c r="C644" s="24"/>
      <c r="D644" s="24" t="s">
        <v>308</v>
      </c>
      <c r="E644" s="24"/>
      <c r="F644" s="134"/>
      <c r="G644" s="135"/>
      <c r="H644" s="135"/>
      <c r="I644" s="135"/>
      <c r="J644" s="135"/>
      <c r="K644" s="135"/>
      <c r="L644" s="135"/>
      <c r="M644" s="135"/>
      <c r="N644" s="135"/>
      <c r="O644" s="136"/>
      <c r="P644" s="134"/>
      <c r="Q644" s="135"/>
      <c r="R644" s="137"/>
      <c r="S644" s="1"/>
      <c r="T644" s="1"/>
      <c r="U644" s="1"/>
    </row>
    <row r="645" spans="1:21" ht="9.75" customHeight="1" x14ac:dyDescent="0.4">
      <c r="A645" s="1"/>
      <c r="B645" s="1"/>
      <c r="C645" s="24"/>
      <c r="D645" s="24" t="s">
        <v>377</v>
      </c>
      <c r="E645" s="24"/>
      <c r="F645" s="134"/>
      <c r="G645" s="135"/>
      <c r="H645" s="135"/>
      <c r="I645" s="135"/>
      <c r="J645" s="135"/>
      <c r="K645" s="135"/>
      <c r="L645" s="135"/>
      <c r="M645" s="135"/>
      <c r="N645" s="135"/>
      <c r="O645" s="136"/>
      <c r="P645" s="134"/>
      <c r="Q645" s="135"/>
      <c r="R645" s="137"/>
      <c r="S645" s="1"/>
      <c r="T645" s="1"/>
      <c r="U645" s="1"/>
    </row>
    <row r="646" spans="1:21" ht="9.75" customHeight="1" x14ac:dyDescent="0.4">
      <c r="A646" s="1"/>
      <c r="B646" s="1"/>
      <c r="C646" s="24"/>
      <c r="D646" s="24" t="s">
        <v>377</v>
      </c>
      <c r="E646" s="24"/>
      <c r="F646" s="134"/>
      <c r="G646" s="135"/>
      <c r="H646" s="135"/>
      <c r="I646" s="135"/>
      <c r="J646" s="135"/>
      <c r="K646" s="135"/>
      <c r="L646" s="135"/>
      <c r="M646" s="135"/>
      <c r="N646" s="135"/>
      <c r="O646" s="136"/>
      <c r="P646" s="134"/>
      <c r="Q646" s="135"/>
      <c r="R646" s="137"/>
      <c r="S646" s="1"/>
      <c r="T646" s="1"/>
      <c r="U646" s="1"/>
    </row>
    <row r="647" spans="1:21" ht="9.75" customHeight="1" x14ac:dyDescent="0.4">
      <c r="A647" s="1"/>
      <c r="B647" s="1"/>
      <c r="C647" s="24"/>
      <c r="D647" s="24" t="s">
        <v>374</v>
      </c>
      <c r="E647" s="24"/>
      <c r="F647" s="134"/>
      <c r="G647" s="135"/>
      <c r="H647" s="135"/>
      <c r="I647" s="135"/>
      <c r="J647" s="135"/>
      <c r="K647" s="135"/>
      <c r="L647" s="135"/>
      <c r="M647" s="135"/>
      <c r="N647" s="135"/>
      <c r="O647" s="136"/>
      <c r="P647" s="134"/>
      <c r="Q647" s="135"/>
      <c r="R647" s="137"/>
      <c r="S647" s="1"/>
      <c r="T647" s="1"/>
      <c r="U647" s="1"/>
    </row>
    <row r="648" spans="1:21" ht="9.75" customHeight="1" x14ac:dyDescent="0.4">
      <c r="A648" s="1"/>
      <c r="B648" s="1"/>
      <c r="C648" s="24"/>
      <c r="D648" s="24" t="s">
        <v>374</v>
      </c>
      <c r="E648" s="24"/>
      <c r="F648" s="134"/>
      <c r="G648" s="135"/>
      <c r="H648" s="135"/>
      <c r="I648" s="135"/>
      <c r="J648" s="135"/>
      <c r="K648" s="135"/>
      <c r="L648" s="135"/>
      <c r="M648" s="135"/>
      <c r="N648" s="135"/>
      <c r="O648" s="136"/>
      <c r="P648" s="134"/>
      <c r="Q648" s="135"/>
      <c r="R648" s="137"/>
      <c r="S648" s="1"/>
      <c r="T648" s="1"/>
      <c r="U648" s="1"/>
    </row>
    <row r="649" spans="1:21" ht="9.75" customHeight="1" x14ac:dyDescent="0.4">
      <c r="A649" s="1"/>
      <c r="B649" s="1"/>
      <c r="C649" s="24"/>
      <c r="D649" s="24" t="s">
        <v>374</v>
      </c>
      <c r="E649" s="24"/>
      <c r="F649" s="134"/>
      <c r="G649" s="135"/>
      <c r="H649" s="135"/>
      <c r="I649" s="135"/>
      <c r="J649" s="135"/>
      <c r="K649" s="135"/>
      <c r="L649" s="135"/>
      <c r="M649" s="135"/>
      <c r="N649" s="135"/>
      <c r="O649" s="136"/>
      <c r="P649" s="134"/>
      <c r="Q649" s="135"/>
      <c r="R649" s="137"/>
      <c r="S649" s="1"/>
      <c r="T649" s="1"/>
      <c r="U649" s="1"/>
    </row>
    <row r="650" spans="1:21" ht="9.75" customHeight="1" x14ac:dyDescent="0.4">
      <c r="A650" s="1"/>
      <c r="B650" s="1"/>
      <c r="C650" s="24"/>
      <c r="D650" s="24" t="s">
        <v>374</v>
      </c>
      <c r="E650" s="24"/>
      <c r="F650" s="134"/>
      <c r="G650" s="135"/>
      <c r="H650" s="135"/>
      <c r="I650" s="135"/>
      <c r="J650" s="135"/>
      <c r="K650" s="135"/>
      <c r="L650" s="135"/>
      <c r="M650" s="135"/>
      <c r="N650" s="135"/>
      <c r="O650" s="136"/>
      <c r="P650" s="134"/>
      <c r="Q650" s="135"/>
      <c r="R650" s="137"/>
      <c r="S650" s="1"/>
      <c r="T650" s="1"/>
      <c r="U650" s="1"/>
    </row>
    <row r="651" spans="1:21" ht="9.75" customHeight="1" x14ac:dyDescent="0.4">
      <c r="A651" s="1"/>
      <c r="B651" s="1"/>
      <c r="C651" s="24"/>
      <c r="D651" s="24" t="s">
        <v>310</v>
      </c>
      <c r="E651" s="24"/>
      <c r="F651" s="134"/>
      <c r="G651" s="135"/>
      <c r="H651" s="135"/>
      <c r="I651" s="135"/>
      <c r="J651" s="135"/>
      <c r="K651" s="225"/>
      <c r="L651" s="225"/>
      <c r="M651" s="225"/>
      <c r="N651" s="225"/>
      <c r="O651" s="226"/>
      <c r="P651" s="134"/>
      <c r="Q651" s="135"/>
      <c r="R651" s="137"/>
      <c r="S651" s="1"/>
      <c r="T651" s="1"/>
      <c r="U651" s="1"/>
    </row>
    <row r="652" spans="1:21" ht="9.75" customHeight="1" x14ac:dyDescent="0.4">
      <c r="A652" s="1"/>
      <c r="B652" s="1"/>
      <c r="C652" s="24"/>
      <c r="D652" s="24" t="s">
        <v>311</v>
      </c>
      <c r="E652" s="24"/>
      <c r="F652" s="134"/>
      <c r="G652" s="135"/>
      <c r="H652" s="135"/>
      <c r="I652" s="135"/>
      <c r="J652" s="135"/>
      <c r="K652" s="135"/>
      <c r="L652" s="135"/>
      <c r="M652" s="135"/>
      <c r="N652" s="135"/>
      <c r="O652" s="136"/>
      <c r="P652" s="134"/>
      <c r="Q652" s="135"/>
      <c r="R652" s="137"/>
      <c r="S652" s="1"/>
      <c r="T652" s="1"/>
      <c r="U652" s="1"/>
    </row>
    <row r="653" spans="1:21" ht="9.75" customHeight="1" x14ac:dyDescent="0.4">
      <c r="A653" s="1"/>
      <c r="B653" s="1"/>
      <c r="C653" s="24"/>
      <c r="D653" s="24" t="s">
        <v>312</v>
      </c>
      <c r="E653" s="24"/>
      <c r="F653" s="134"/>
      <c r="G653" s="135"/>
      <c r="H653" s="135"/>
      <c r="I653" s="135"/>
      <c r="J653" s="135"/>
      <c r="K653" s="135"/>
      <c r="L653" s="135"/>
      <c r="M653" s="135"/>
      <c r="N653" s="135"/>
      <c r="O653" s="136"/>
      <c r="P653" s="134"/>
      <c r="Q653" s="135"/>
      <c r="R653" s="137"/>
      <c r="S653" s="1"/>
      <c r="T653" s="1"/>
      <c r="U653" s="1"/>
    </row>
    <row r="654" spans="1:21" ht="9.75" customHeight="1" x14ac:dyDescent="0.4">
      <c r="A654" s="1"/>
      <c r="B654" s="1"/>
      <c r="C654" s="24"/>
      <c r="D654" s="24" t="s">
        <v>313</v>
      </c>
      <c r="E654" s="24"/>
      <c r="F654" s="134"/>
      <c r="G654" s="135"/>
      <c r="H654" s="135"/>
      <c r="I654" s="135"/>
      <c r="J654" s="135"/>
      <c r="K654" s="135"/>
      <c r="L654" s="135"/>
      <c r="M654" s="135"/>
      <c r="N654" s="135"/>
      <c r="O654" s="136"/>
      <c r="P654" s="134"/>
      <c r="Q654" s="135"/>
      <c r="R654" s="137"/>
      <c r="S654" s="1"/>
      <c r="T654" s="1"/>
      <c r="U654" s="1"/>
    </row>
    <row r="655" spans="1:21" ht="9.75" customHeight="1" x14ac:dyDescent="0.4">
      <c r="A655" s="1"/>
      <c r="B655" s="1" t="s">
        <v>395</v>
      </c>
      <c r="C655" s="229"/>
      <c r="D655" s="141" t="s">
        <v>314</v>
      </c>
      <c r="E655" s="141"/>
      <c r="F655" s="142"/>
      <c r="G655" s="143"/>
      <c r="H655" s="143"/>
      <c r="I655" s="143"/>
      <c r="J655" s="143"/>
      <c r="K655" s="242"/>
      <c r="L655" s="242"/>
      <c r="M655" s="242"/>
      <c r="N655" s="242"/>
      <c r="O655" s="243"/>
      <c r="P655" s="142"/>
      <c r="Q655" s="143"/>
      <c r="R655" s="145"/>
      <c r="S655" s="1"/>
      <c r="T655" s="1"/>
      <c r="U655" s="1"/>
    </row>
    <row r="656" spans="1:21" ht="9.75" customHeight="1" x14ac:dyDescent="0.4">
      <c r="A656" s="1"/>
      <c r="B656" s="1"/>
      <c r="C656" s="191" t="s">
        <v>185</v>
      </c>
      <c r="D656" s="191" t="s">
        <v>300</v>
      </c>
      <c r="E656" s="15"/>
      <c r="F656" s="73"/>
      <c r="G656" s="108"/>
      <c r="H656" s="108"/>
      <c r="I656" s="108"/>
      <c r="J656" s="108"/>
      <c r="K656" s="108"/>
      <c r="L656" s="108"/>
      <c r="M656" s="108"/>
      <c r="N656" s="108"/>
      <c r="O656" s="109"/>
      <c r="P656" s="73"/>
      <c r="Q656" s="108"/>
      <c r="R656" s="188"/>
      <c r="S656" s="1"/>
      <c r="T656" s="1"/>
      <c r="U656" s="1"/>
    </row>
    <row r="657" spans="1:21" ht="9.75" customHeight="1" x14ac:dyDescent="0.4">
      <c r="A657" s="1"/>
      <c r="B657" s="1"/>
      <c r="C657" s="17"/>
      <c r="D657" s="17" t="s">
        <v>301</v>
      </c>
      <c r="E657" s="17"/>
      <c r="F657" s="32"/>
      <c r="G657" s="6"/>
      <c r="H657" s="6"/>
      <c r="I657" s="6"/>
      <c r="J657" s="6"/>
      <c r="K657" s="6"/>
      <c r="L657" s="6"/>
      <c r="M657" s="6"/>
      <c r="N657" s="6"/>
      <c r="O657" s="31"/>
      <c r="P657" s="32"/>
      <c r="Q657" s="6"/>
      <c r="R657" s="59"/>
      <c r="S657" s="1"/>
      <c r="T657" s="1"/>
      <c r="U657" s="1"/>
    </row>
    <row r="658" spans="1:21" ht="9.75" customHeight="1" x14ac:dyDescent="0.4">
      <c r="A658" s="1"/>
      <c r="B658" s="1"/>
      <c r="C658" s="17"/>
      <c r="D658" s="17" t="s">
        <v>303</v>
      </c>
      <c r="E658" s="17"/>
      <c r="F658" s="32"/>
      <c r="G658" s="6"/>
      <c r="H658" s="6"/>
      <c r="I658" s="6"/>
      <c r="J658" s="6"/>
      <c r="K658" s="6"/>
      <c r="L658" s="6"/>
      <c r="M658" s="6"/>
      <c r="N658" s="6"/>
      <c r="O658" s="31"/>
      <c r="P658" s="32"/>
      <c r="Q658" s="6"/>
      <c r="R658" s="59"/>
      <c r="S658" s="1"/>
      <c r="T658" s="1"/>
      <c r="U658" s="1"/>
    </row>
    <row r="659" spans="1:21" ht="9.75" customHeight="1" x14ac:dyDescent="0.4">
      <c r="A659" s="1"/>
      <c r="B659" s="1"/>
      <c r="C659" s="17"/>
      <c r="D659" s="17" t="s">
        <v>369</v>
      </c>
      <c r="E659" s="17"/>
      <c r="F659" s="32"/>
      <c r="G659" s="6"/>
      <c r="H659" s="6"/>
      <c r="I659" s="6"/>
      <c r="J659" s="6"/>
      <c r="K659" s="6"/>
      <c r="L659" s="6"/>
      <c r="M659" s="6"/>
      <c r="N659" s="6"/>
      <c r="O659" s="31"/>
      <c r="P659" s="32"/>
      <c r="Q659" s="6"/>
      <c r="R659" s="59"/>
      <c r="S659" s="1"/>
      <c r="T659" s="1"/>
      <c r="U659" s="1"/>
    </row>
    <row r="660" spans="1:21" ht="9.75" customHeight="1" x14ac:dyDescent="0.4">
      <c r="A660" s="1"/>
      <c r="B660" s="1"/>
      <c r="C660" s="17"/>
      <c r="D660" s="17" t="s">
        <v>369</v>
      </c>
      <c r="E660" s="17"/>
      <c r="F660" s="32"/>
      <c r="G660" s="6"/>
      <c r="H660" s="6"/>
      <c r="I660" s="6"/>
      <c r="J660" s="6"/>
      <c r="K660" s="6"/>
      <c r="L660" s="6"/>
      <c r="M660" s="6"/>
      <c r="N660" s="6"/>
      <c r="O660" s="31"/>
      <c r="P660" s="32"/>
      <c r="Q660" s="6"/>
      <c r="R660" s="59"/>
      <c r="S660" s="1"/>
      <c r="T660" s="1"/>
      <c r="U660" s="1"/>
    </row>
    <row r="661" spans="1:21" ht="9.75" customHeight="1" x14ac:dyDescent="0.4">
      <c r="A661" s="1"/>
      <c r="B661" s="1"/>
      <c r="C661" s="17"/>
      <c r="D661" s="17" t="s">
        <v>308</v>
      </c>
      <c r="E661" s="17"/>
      <c r="F661" s="32"/>
      <c r="G661" s="6"/>
      <c r="H661" s="6"/>
      <c r="I661" s="6"/>
      <c r="J661" s="6"/>
      <c r="K661" s="6"/>
      <c r="L661" s="6"/>
      <c r="M661" s="6"/>
      <c r="N661" s="6"/>
      <c r="O661" s="31"/>
      <c r="P661" s="32"/>
      <c r="Q661" s="6"/>
      <c r="R661" s="59"/>
      <c r="S661" s="1"/>
      <c r="T661" s="1"/>
      <c r="U661" s="1"/>
    </row>
    <row r="662" spans="1:21" ht="9.75" customHeight="1" x14ac:dyDescent="0.4">
      <c r="A662" s="1"/>
      <c r="B662" s="1"/>
      <c r="C662" s="17"/>
      <c r="D662" s="17" t="s">
        <v>425</v>
      </c>
      <c r="E662" s="17">
        <v>1</v>
      </c>
      <c r="F662" s="32">
        <v>1</v>
      </c>
      <c r="G662" s="6">
        <v>1</v>
      </c>
      <c r="H662" s="6">
        <v>1</v>
      </c>
      <c r="I662" s="6">
        <v>0</v>
      </c>
      <c r="J662" s="6">
        <v>0</v>
      </c>
      <c r="K662" s="74">
        <v>0</v>
      </c>
      <c r="L662" s="74">
        <v>1</v>
      </c>
      <c r="M662" s="74">
        <v>1</v>
      </c>
      <c r="N662" s="74">
        <v>1</v>
      </c>
      <c r="O662" s="123">
        <v>1</v>
      </c>
      <c r="P662" s="32">
        <f>IF(F662, MIN(F662:O662), "")</f>
        <v>0</v>
      </c>
      <c r="Q662" s="6">
        <f>IF(F662, E662-P662, "")</f>
        <v>1</v>
      </c>
      <c r="R662" s="59">
        <f>IF(F662, Q662/E662, "")</f>
        <v>1</v>
      </c>
      <c r="S662" s="1"/>
      <c r="T662" s="1"/>
      <c r="U662" s="1"/>
    </row>
    <row r="663" spans="1:21" ht="9.75" customHeight="1" x14ac:dyDescent="0.4">
      <c r="A663" s="1"/>
      <c r="B663" s="1"/>
      <c r="C663" s="220"/>
      <c r="D663" s="17" t="s">
        <v>374</v>
      </c>
      <c r="E663" s="17"/>
      <c r="F663" s="32"/>
      <c r="G663" s="6"/>
      <c r="H663" s="6"/>
      <c r="I663" s="6"/>
      <c r="J663" s="6"/>
      <c r="K663" s="192"/>
      <c r="L663" s="192"/>
      <c r="M663" s="192"/>
      <c r="N663" s="192"/>
      <c r="O663" s="193"/>
      <c r="P663" s="32"/>
      <c r="Q663" s="6"/>
      <c r="R663" s="59"/>
      <c r="S663" s="1"/>
      <c r="T663" s="1"/>
      <c r="U663" s="1"/>
    </row>
    <row r="664" spans="1:21" ht="9.75" customHeight="1" x14ac:dyDescent="0.4">
      <c r="A664" s="1"/>
      <c r="B664" s="1"/>
      <c r="C664" s="220"/>
      <c r="D664" s="17" t="s">
        <v>374</v>
      </c>
      <c r="E664" s="17"/>
      <c r="F664" s="32"/>
      <c r="G664" s="6"/>
      <c r="H664" s="6"/>
      <c r="I664" s="6"/>
      <c r="J664" s="6"/>
      <c r="K664" s="192"/>
      <c r="L664" s="192"/>
      <c r="M664" s="192"/>
      <c r="N664" s="192"/>
      <c r="O664" s="193"/>
      <c r="P664" s="32"/>
      <c r="Q664" s="6"/>
      <c r="R664" s="59"/>
      <c r="S664" s="1"/>
      <c r="T664" s="1"/>
      <c r="U664" s="1"/>
    </row>
    <row r="665" spans="1:21" ht="9.75" customHeight="1" x14ac:dyDescent="0.4">
      <c r="A665" s="1"/>
      <c r="B665" s="1"/>
      <c r="C665" s="220"/>
      <c r="D665" s="17" t="s">
        <v>374</v>
      </c>
      <c r="E665" s="17"/>
      <c r="F665" s="32"/>
      <c r="G665" s="6"/>
      <c r="H665" s="6"/>
      <c r="I665" s="6"/>
      <c r="J665" s="6"/>
      <c r="K665" s="192"/>
      <c r="L665" s="192"/>
      <c r="M665" s="192"/>
      <c r="N665" s="192"/>
      <c r="O665" s="193"/>
      <c r="P665" s="32"/>
      <c r="Q665" s="6"/>
      <c r="R665" s="59"/>
      <c r="S665" s="1"/>
      <c r="T665" s="1"/>
      <c r="U665" s="1"/>
    </row>
    <row r="666" spans="1:21" ht="9.75" customHeight="1" x14ac:dyDescent="0.4">
      <c r="A666" s="1"/>
      <c r="B666" s="1"/>
      <c r="C666" s="220"/>
      <c r="D666" s="17" t="s">
        <v>374</v>
      </c>
      <c r="E666" s="17"/>
      <c r="F666" s="32"/>
      <c r="G666" s="6"/>
      <c r="H666" s="6"/>
      <c r="I666" s="6"/>
      <c r="J666" s="6"/>
      <c r="K666" s="192"/>
      <c r="L666" s="192"/>
      <c r="M666" s="192"/>
      <c r="N666" s="192"/>
      <c r="O666" s="193"/>
      <c r="P666" s="32"/>
      <c r="Q666" s="6"/>
      <c r="R666" s="59"/>
      <c r="S666" s="1"/>
      <c r="T666" s="1"/>
      <c r="U666" s="1"/>
    </row>
    <row r="667" spans="1:21" ht="9.75" customHeight="1" x14ac:dyDescent="0.4">
      <c r="A667" s="1"/>
      <c r="B667" s="1"/>
      <c r="C667" s="220"/>
      <c r="D667" s="17" t="s">
        <v>374</v>
      </c>
      <c r="E667" s="17"/>
      <c r="F667" s="32"/>
      <c r="G667" s="6"/>
      <c r="H667" s="6"/>
      <c r="I667" s="6"/>
      <c r="J667" s="6"/>
      <c r="K667" s="192"/>
      <c r="L667" s="192"/>
      <c r="M667" s="192"/>
      <c r="N667" s="192"/>
      <c r="O667" s="193"/>
      <c r="P667" s="32"/>
      <c r="Q667" s="6"/>
      <c r="R667" s="59"/>
      <c r="S667" s="1"/>
      <c r="T667" s="1"/>
      <c r="U667" s="1"/>
    </row>
    <row r="668" spans="1:21" ht="9.75" customHeight="1" x14ac:dyDescent="0.4">
      <c r="A668" s="1"/>
      <c r="B668" s="1"/>
      <c r="C668" s="220"/>
      <c r="D668" s="17" t="s">
        <v>310</v>
      </c>
      <c r="E668" s="17">
        <v>4</v>
      </c>
      <c r="F668" s="32">
        <v>3</v>
      </c>
      <c r="G668" s="6">
        <v>1</v>
      </c>
      <c r="H668" s="6">
        <v>0</v>
      </c>
      <c r="I668" s="6">
        <v>0</v>
      </c>
      <c r="J668" s="6">
        <v>0</v>
      </c>
      <c r="K668" s="74">
        <v>0</v>
      </c>
      <c r="L668" s="74">
        <v>0</v>
      </c>
      <c r="M668" s="74">
        <v>2</v>
      </c>
      <c r="N668" s="74">
        <v>2</v>
      </c>
      <c r="O668" s="123">
        <v>2</v>
      </c>
      <c r="P668" s="32">
        <f t="shared" ref="P668:P669" si="95">MIN(F668:O668)</f>
        <v>0</v>
      </c>
      <c r="Q668" s="6">
        <f t="shared" ref="Q668:Q669" si="96">E668-P668</f>
        <v>4</v>
      </c>
      <c r="R668" s="59">
        <f t="shared" ref="R668:R669" si="97">Q668/E668</f>
        <v>1</v>
      </c>
      <c r="S668" s="1"/>
      <c r="T668" s="1"/>
      <c r="U668" s="1"/>
    </row>
    <row r="669" spans="1:21" ht="9.75" customHeight="1" x14ac:dyDescent="0.4">
      <c r="A669" s="1"/>
      <c r="B669" s="1"/>
      <c r="C669" s="220"/>
      <c r="D669" s="17" t="s">
        <v>311</v>
      </c>
      <c r="E669" s="17">
        <v>1</v>
      </c>
      <c r="F669" s="32">
        <v>1</v>
      </c>
      <c r="G669" s="6">
        <v>1</v>
      </c>
      <c r="H669" s="6">
        <v>1</v>
      </c>
      <c r="I669" s="6">
        <v>0</v>
      </c>
      <c r="J669" s="6">
        <v>0</v>
      </c>
      <c r="K669" s="74">
        <v>1</v>
      </c>
      <c r="L669" s="74">
        <v>1</v>
      </c>
      <c r="M669" s="74">
        <v>1</v>
      </c>
      <c r="N669" s="74">
        <v>1</v>
      </c>
      <c r="O669" s="123">
        <v>0</v>
      </c>
      <c r="P669" s="32">
        <f t="shared" si="95"/>
        <v>0</v>
      </c>
      <c r="Q669" s="6">
        <f t="shared" si="96"/>
        <v>1</v>
      </c>
      <c r="R669" s="59">
        <f t="shared" si="97"/>
        <v>1</v>
      </c>
      <c r="S669" s="1"/>
      <c r="T669" s="1"/>
      <c r="U669" s="1"/>
    </row>
    <row r="670" spans="1:21" ht="9.75" customHeight="1" x14ac:dyDescent="0.4">
      <c r="A670" s="1"/>
      <c r="B670" s="1"/>
      <c r="C670" s="220"/>
      <c r="D670" s="17" t="s">
        <v>312</v>
      </c>
      <c r="E670" s="17"/>
      <c r="F670" s="32"/>
      <c r="G670" s="6"/>
      <c r="H670" s="6"/>
      <c r="I670" s="6"/>
      <c r="J670" s="6"/>
      <c r="K670" s="192"/>
      <c r="L670" s="192"/>
      <c r="M670" s="192"/>
      <c r="N670" s="192"/>
      <c r="O670" s="193"/>
      <c r="P670" s="32"/>
      <c r="Q670" s="6"/>
      <c r="R670" s="59"/>
      <c r="S670" s="1"/>
      <c r="T670" s="1"/>
      <c r="U670" s="1"/>
    </row>
    <row r="671" spans="1:21" ht="9.75" customHeight="1" x14ac:dyDescent="0.4">
      <c r="A671" s="1"/>
      <c r="B671" s="1"/>
      <c r="C671" s="220"/>
      <c r="D671" s="17" t="s">
        <v>313</v>
      </c>
      <c r="E671" s="17">
        <v>17</v>
      </c>
      <c r="F671" s="32">
        <v>11</v>
      </c>
      <c r="G671" s="6">
        <v>10</v>
      </c>
      <c r="H671" s="6">
        <v>9</v>
      </c>
      <c r="I671" s="6">
        <v>12</v>
      </c>
      <c r="J671" s="6">
        <v>12</v>
      </c>
      <c r="K671" s="194">
        <v>6</v>
      </c>
      <c r="L671" s="194">
        <v>8</v>
      </c>
      <c r="M671" s="194">
        <v>6</v>
      </c>
      <c r="N671" s="194">
        <v>5</v>
      </c>
      <c r="O671" s="195">
        <v>6</v>
      </c>
      <c r="P671" s="32">
        <f t="shared" ref="P671:P672" si="98">MIN(F671:O671)</f>
        <v>5</v>
      </c>
      <c r="Q671" s="6">
        <f t="shared" ref="Q671:Q672" si="99">E671-P671</f>
        <v>12</v>
      </c>
      <c r="R671" s="59">
        <f t="shared" ref="R671:R672" si="100">Q671/E671</f>
        <v>0.70588235294117652</v>
      </c>
      <c r="S671" s="1"/>
      <c r="T671" s="1"/>
      <c r="U671" s="1"/>
    </row>
    <row r="672" spans="1:21" ht="9.75" customHeight="1" x14ac:dyDescent="0.4">
      <c r="A672" s="1"/>
      <c r="B672" s="1" t="s">
        <v>395</v>
      </c>
      <c r="C672" s="221"/>
      <c r="D672" s="65" t="s">
        <v>314</v>
      </c>
      <c r="E672" s="65">
        <f t="shared" ref="E672:O672" si="101">SUM(E656:E671)</f>
        <v>23</v>
      </c>
      <c r="F672" s="104">
        <f t="shared" si="101"/>
        <v>16</v>
      </c>
      <c r="G672" s="128">
        <f t="shared" si="101"/>
        <v>13</v>
      </c>
      <c r="H672" s="128">
        <f t="shared" si="101"/>
        <v>11</v>
      </c>
      <c r="I672" s="128">
        <f t="shared" si="101"/>
        <v>12</v>
      </c>
      <c r="J672" s="128">
        <f t="shared" si="101"/>
        <v>12</v>
      </c>
      <c r="K672" s="128">
        <f t="shared" si="101"/>
        <v>7</v>
      </c>
      <c r="L672" s="128">
        <f t="shared" si="101"/>
        <v>10</v>
      </c>
      <c r="M672" s="128">
        <f t="shared" si="101"/>
        <v>10</v>
      </c>
      <c r="N672" s="128">
        <f t="shared" si="101"/>
        <v>9</v>
      </c>
      <c r="O672" s="129">
        <f t="shared" si="101"/>
        <v>9</v>
      </c>
      <c r="P672" s="104">
        <f t="shared" si="98"/>
        <v>7</v>
      </c>
      <c r="Q672" s="128">
        <f t="shared" si="99"/>
        <v>16</v>
      </c>
      <c r="R672" s="72">
        <f t="shared" si="100"/>
        <v>0.69565217391304346</v>
      </c>
      <c r="S672" s="1"/>
      <c r="T672" s="1"/>
      <c r="U672" s="1"/>
    </row>
    <row r="673" spans="1:21" ht="9.75" customHeight="1" x14ac:dyDescent="0.4">
      <c r="A673" s="1"/>
      <c r="B673" s="1"/>
      <c r="C673" s="15" t="s">
        <v>195</v>
      </c>
      <c r="D673" s="191" t="s">
        <v>300</v>
      </c>
      <c r="E673" s="15"/>
      <c r="F673" s="73"/>
      <c r="G673" s="108"/>
      <c r="H673" s="108"/>
      <c r="I673" s="108"/>
      <c r="J673" s="108"/>
      <c r="K673" s="108"/>
      <c r="L673" s="108"/>
      <c r="M673" s="108"/>
      <c r="N673" s="108"/>
      <c r="O673" s="109"/>
      <c r="P673" s="73"/>
      <c r="Q673" s="108"/>
      <c r="R673" s="188"/>
      <c r="S673" s="1"/>
      <c r="T673" s="1"/>
      <c r="U673" s="1"/>
    </row>
    <row r="674" spans="1:21" ht="9.75" customHeight="1" x14ac:dyDescent="0.4">
      <c r="A674" s="1"/>
      <c r="B674" s="1"/>
      <c r="C674" s="220"/>
      <c r="D674" s="17" t="s">
        <v>301</v>
      </c>
      <c r="E674" s="17"/>
      <c r="F674" s="32"/>
      <c r="G674" s="6"/>
      <c r="H674" s="6"/>
      <c r="I674" s="6"/>
      <c r="J674" s="6"/>
      <c r="K674" s="6"/>
      <c r="L674" s="6"/>
      <c r="M674" s="6"/>
      <c r="N674" s="6"/>
      <c r="O674" s="31"/>
      <c r="P674" s="32"/>
      <c r="Q674" s="6"/>
      <c r="R674" s="59"/>
      <c r="S674" s="1"/>
      <c r="T674" s="1"/>
      <c r="U674" s="1"/>
    </row>
    <row r="675" spans="1:21" ht="9.75" customHeight="1" x14ac:dyDescent="0.4">
      <c r="A675" s="1"/>
      <c r="B675" s="1"/>
      <c r="C675" s="220"/>
      <c r="D675" s="17" t="s">
        <v>303</v>
      </c>
      <c r="E675" s="17"/>
      <c r="F675" s="32"/>
      <c r="G675" s="6"/>
      <c r="H675" s="6"/>
      <c r="I675" s="6"/>
      <c r="J675" s="6"/>
      <c r="K675" s="6"/>
      <c r="L675" s="6"/>
      <c r="M675" s="6"/>
      <c r="N675" s="6"/>
      <c r="O675" s="31"/>
      <c r="P675" s="32"/>
      <c r="Q675" s="6"/>
      <c r="R675" s="59"/>
      <c r="S675" s="1"/>
      <c r="T675" s="1"/>
      <c r="U675" s="1"/>
    </row>
    <row r="676" spans="1:21" ht="9.75" customHeight="1" x14ac:dyDescent="0.4">
      <c r="A676" s="1"/>
      <c r="B676" s="1"/>
      <c r="C676" s="220"/>
      <c r="D676" s="17" t="s">
        <v>369</v>
      </c>
      <c r="E676" s="17"/>
      <c r="F676" s="32"/>
      <c r="G676" s="6"/>
      <c r="H676" s="6"/>
      <c r="I676" s="6"/>
      <c r="J676" s="6"/>
      <c r="K676" s="6"/>
      <c r="L676" s="6"/>
      <c r="M676" s="6"/>
      <c r="N676" s="6"/>
      <c r="O676" s="31"/>
      <c r="P676" s="32"/>
      <c r="Q676" s="6"/>
      <c r="R676" s="59"/>
      <c r="S676" s="1"/>
      <c r="T676" s="1"/>
      <c r="U676" s="1"/>
    </row>
    <row r="677" spans="1:21" ht="9.75" customHeight="1" x14ac:dyDescent="0.4">
      <c r="A677" s="1"/>
      <c r="B677" s="1"/>
      <c r="C677" s="220"/>
      <c r="D677" s="17" t="s">
        <v>369</v>
      </c>
      <c r="E677" s="17"/>
      <c r="F677" s="32"/>
      <c r="G677" s="6"/>
      <c r="H677" s="6"/>
      <c r="I677" s="6"/>
      <c r="J677" s="6"/>
      <c r="K677" s="6"/>
      <c r="L677" s="6"/>
      <c r="M677" s="6"/>
      <c r="N677" s="6"/>
      <c r="O677" s="31"/>
      <c r="P677" s="32"/>
      <c r="Q677" s="6"/>
      <c r="R677" s="59"/>
      <c r="S677" s="1"/>
      <c r="T677" s="1"/>
      <c r="U677" s="1"/>
    </row>
    <row r="678" spans="1:21" ht="9.75" customHeight="1" x14ac:dyDescent="0.4">
      <c r="A678" s="1"/>
      <c r="B678" s="1"/>
      <c r="C678" s="220"/>
      <c r="D678" s="17" t="s">
        <v>308</v>
      </c>
      <c r="E678" s="17"/>
      <c r="F678" s="32"/>
      <c r="G678" s="6"/>
      <c r="H678" s="6"/>
      <c r="I678" s="6"/>
      <c r="J678" s="6"/>
      <c r="K678" s="6"/>
      <c r="L678" s="6"/>
      <c r="M678" s="6"/>
      <c r="N678" s="6"/>
      <c r="O678" s="31"/>
      <c r="P678" s="32"/>
      <c r="Q678" s="6"/>
      <c r="R678" s="59"/>
      <c r="S678" s="1"/>
      <c r="T678" s="1"/>
      <c r="U678" s="1"/>
    </row>
    <row r="679" spans="1:21" ht="9.75" customHeight="1" x14ac:dyDescent="0.4">
      <c r="A679" s="1"/>
      <c r="B679" s="1"/>
      <c r="C679" s="220"/>
      <c r="D679" s="17" t="s">
        <v>374</v>
      </c>
      <c r="E679" s="17"/>
      <c r="F679" s="32"/>
      <c r="G679" s="6"/>
      <c r="H679" s="6"/>
      <c r="I679" s="6"/>
      <c r="J679" s="6"/>
      <c r="K679" s="6"/>
      <c r="L679" s="6"/>
      <c r="M679" s="6"/>
      <c r="N679" s="6"/>
      <c r="O679" s="31"/>
      <c r="P679" s="32"/>
      <c r="Q679" s="6"/>
      <c r="R679" s="59"/>
      <c r="S679" s="1"/>
      <c r="T679" s="1"/>
      <c r="U679" s="1"/>
    </row>
    <row r="680" spans="1:21" ht="9.75" customHeight="1" x14ac:dyDescent="0.4">
      <c r="A680" s="1"/>
      <c r="B680" s="1"/>
      <c r="C680" s="220"/>
      <c r="D680" s="17" t="s">
        <v>374</v>
      </c>
      <c r="E680" s="17"/>
      <c r="F680" s="32"/>
      <c r="G680" s="6"/>
      <c r="H680" s="6"/>
      <c r="I680" s="6"/>
      <c r="J680" s="6"/>
      <c r="K680" s="6"/>
      <c r="L680" s="6"/>
      <c r="M680" s="6"/>
      <c r="N680" s="6"/>
      <c r="O680" s="31"/>
      <c r="P680" s="32"/>
      <c r="Q680" s="6"/>
      <c r="R680" s="59"/>
      <c r="S680" s="1"/>
      <c r="T680" s="1"/>
      <c r="U680" s="1"/>
    </row>
    <row r="681" spans="1:21" ht="9.75" customHeight="1" x14ac:dyDescent="0.4">
      <c r="A681" s="1"/>
      <c r="B681" s="1"/>
      <c r="C681" s="220"/>
      <c r="D681" s="17" t="s">
        <v>374</v>
      </c>
      <c r="E681" s="17"/>
      <c r="F681" s="32"/>
      <c r="G681" s="6"/>
      <c r="H681" s="6"/>
      <c r="I681" s="6"/>
      <c r="J681" s="6"/>
      <c r="K681" s="6"/>
      <c r="L681" s="6"/>
      <c r="M681" s="6"/>
      <c r="N681" s="6"/>
      <c r="O681" s="31"/>
      <c r="P681" s="32"/>
      <c r="Q681" s="6"/>
      <c r="R681" s="59"/>
      <c r="S681" s="1"/>
      <c r="T681" s="1"/>
      <c r="U681" s="1"/>
    </row>
    <row r="682" spans="1:21" ht="9.75" customHeight="1" x14ac:dyDescent="0.4">
      <c r="A682" s="1"/>
      <c r="B682" s="1"/>
      <c r="C682" s="220"/>
      <c r="D682" s="17" t="s">
        <v>374</v>
      </c>
      <c r="E682" s="17"/>
      <c r="F682" s="32"/>
      <c r="G682" s="6"/>
      <c r="H682" s="6"/>
      <c r="I682" s="6"/>
      <c r="J682" s="6"/>
      <c r="K682" s="6"/>
      <c r="L682" s="6"/>
      <c r="M682" s="6"/>
      <c r="N682" s="6"/>
      <c r="O682" s="31"/>
      <c r="P682" s="32"/>
      <c r="Q682" s="6"/>
      <c r="R682" s="59"/>
      <c r="S682" s="1"/>
      <c r="T682" s="1"/>
      <c r="U682" s="1"/>
    </row>
    <row r="683" spans="1:21" ht="9.75" customHeight="1" x14ac:dyDescent="0.4">
      <c r="A683" s="1"/>
      <c r="B683" s="1"/>
      <c r="C683" s="220"/>
      <c r="D683" s="17" t="s">
        <v>374</v>
      </c>
      <c r="E683" s="17"/>
      <c r="F683" s="32"/>
      <c r="G683" s="6"/>
      <c r="H683" s="6"/>
      <c r="I683" s="6"/>
      <c r="J683" s="6"/>
      <c r="K683" s="6"/>
      <c r="L683" s="6"/>
      <c r="M683" s="6"/>
      <c r="N683" s="6"/>
      <c r="O683" s="31"/>
      <c r="P683" s="32"/>
      <c r="Q683" s="6"/>
      <c r="R683" s="59"/>
      <c r="S683" s="1"/>
      <c r="T683" s="1"/>
      <c r="U683" s="1"/>
    </row>
    <row r="684" spans="1:21" ht="9.75" customHeight="1" x14ac:dyDescent="0.4">
      <c r="A684" s="1"/>
      <c r="B684" s="1"/>
      <c r="C684" s="220"/>
      <c r="D684" s="17" t="s">
        <v>374</v>
      </c>
      <c r="E684" s="17"/>
      <c r="F684" s="32"/>
      <c r="G684" s="6"/>
      <c r="H684" s="6"/>
      <c r="I684" s="6"/>
      <c r="J684" s="6"/>
      <c r="K684" s="6"/>
      <c r="L684" s="6"/>
      <c r="M684" s="6"/>
      <c r="N684" s="6"/>
      <c r="O684" s="31"/>
      <c r="P684" s="32"/>
      <c r="Q684" s="6"/>
      <c r="R684" s="59"/>
      <c r="S684" s="1"/>
      <c r="T684" s="1"/>
      <c r="U684" s="1"/>
    </row>
    <row r="685" spans="1:21" ht="9.75" customHeight="1" x14ac:dyDescent="0.4">
      <c r="A685" s="1"/>
      <c r="B685" s="1"/>
      <c r="C685" s="220"/>
      <c r="D685" s="17" t="s">
        <v>310</v>
      </c>
      <c r="E685" s="17">
        <v>4</v>
      </c>
      <c r="F685" s="32">
        <v>4</v>
      </c>
      <c r="G685" s="6">
        <v>4</v>
      </c>
      <c r="H685" s="6">
        <v>4</v>
      </c>
      <c r="I685" s="6">
        <v>4</v>
      </c>
      <c r="J685" s="6">
        <v>4</v>
      </c>
      <c r="K685" s="74">
        <v>4</v>
      </c>
      <c r="L685" s="74">
        <v>3</v>
      </c>
      <c r="M685" s="74">
        <v>4</v>
      </c>
      <c r="N685" s="74">
        <v>4</v>
      </c>
      <c r="O685" s="123">
        <v>4</v>
      </c>
      <c r="P685" s="32">
        <f t="shared" ref="P685:P687" si="102">MIN(F685:O685)</f>
        <v>3</v>
      </c>
      <c r="Q685" s="6">
        <f t="shared" ref="Q685:Q687" si="103">E685-P685</f>
        <v>1</v>
      </c>
      <c r="R685" s="59">
        <f t="shared" ref="R685:R687" si="104">Q685/E685</f>
        <v>0.25</v>
      </c>
      <c r="S685" s="1"/>
      <c r="T685" s="1"/>
      <c r="U685" s="1"/>
    </row>
    <row r="686" spans="1:21" ht="9.75" customHeight="1" x14ac:dyDescent="0.4">
      <c r="A686" s="1"/>
      <c r="B686" s="1"/>
      <c r="C686" s="220"/>
      <c r="D686" s="17" t="s">
        <v>311</v>
      </c>
      <c r="E686" s="17">
        <v>2</v>
      </c>
      <c r="F686" s="32">
        <v>1</v>
      </c>
      <c r="G686" s="6">
        <v>0</v>
      </c>
      <c r="H686" s="6">
        <v>0</v>
      </c>
      <c r="I686" s="6">
        <v>0</v>
      </c>
      <c r="J686" s="6">
        <v>0</v>
      </c>
      <c r="K686" s="74">
        <v>1</v>
      </c>
      <c r="L686" s="74">
        <v>1</v>
      </c>
      <c r="M686" s="74">
        <v>1</v>
      </c>
      <c r="N686" s="74">
        <v>1</v>
      </c>
      <c r="O686" s="123">
        <v>0</v>
      </c>
      <c r="P686" s="32">
        <f t="shared" si="102"/>
        <v>0</v>
      </c>
      <c r="Q686" s="6">
        <f t="shared" si="103"/>
        <v>2</v>
      </c>
      <c r="R686" s="59">
        <f t="shared" si="104"/>
        <v>1</v>
      </c>
      <c r="S686" s="1"/>
      <c r="T686" s="1"/>
      <c r="U686" s="1"/>
    </row>
    <row r="687" spans="1:21" ht="9.75" customHeight="1" x14ac:dyDescent="0.4">
      <c r="A687" s="1"/>
      <c r="B687" s="1"/>
      <c r="C687" s="220"/>
      <c r="D687" s="17" t="s">
        <v>312</v>
      </c>
      <c r="E687" s="17">
        <v>8</v>
      </c>
      <c r="F687" s="32">
        <v>6</v>
      </c>
      <c r="G687" s="6">
        <v>3</v>
      </c>
      <c r="H687" s="6">
        <v>3</v>
      </c>
      <c r="I687" s="6">
        <v>2</v>
      </c>
      <c r="J687" s="6">
        <v>2</v>
      </c>
      <c r="K687" s="74">
        <v>0</v>
      </c>
      <c r="L687" s="74">
        <v>3</v>
      </c>
      <c r="M687" s="74">
        <v>4</v>
      </c>
      <c r="N687" s="74">
        <v>4</v>
      </c>
      <c r="O687" s="123">
        <v>6</v>
      </c>
      <c r="P687" s="32">
        <f t="shared" si="102"/>
        <v>0</v>
      </c>
      <c r="Q687" s="6">
        <f t="shared" si="103"/>
        <v>8</v>
      </c>
      <c r="R687" s="59">
        <f t="shared" si="104"/>
        <v>1</v>
      </c>
      <c r="S687" s="1"/>
      <c r="T687" s="1"/>
      <c r="U687" s="1"/>
    </row>
    <row r="688" spans="1:21" ht="9.75" customHeight="1" x14ac:dyDescent="0.4">
      <c r="A688" s="1"/>
      <c r="B688" s="1"/>
      <c r="C688" s="220"/>
      <c r="D688" s="17" t="s">
        <v>313</v>
      </c>
      <c r="E688" s="17"/>
      <c r="F688" s="32"/>
      <c r="G688" s="6"/>
      <c r="H688" s="6"/>
      <c r="I688" s="6"/>
      <c r="J688" s="6"/>
      <c r="K688" s="6"/>
      <c r="L688" s="6"/>
      <c r="M688" s="6"/>
      <c r="N688" s="6"/>
      <c r="O688" s="31"/>
      <c r="P688" s="32"/>
      <c r="Q688" s="6"/>
      <c r="R688" s="59"/>
      <c r="S688" s="1"/>
      <c r="T688" s="1"/>
      <c r="U688" s="1"/>
    </row>
    <row r="689" spans="1:21" ht="9.75" customHeight="1" x14ac:dyDescent="0.4">
      <c r="A689" s="1"/>
      <c r="B689" s="1" t="s">
        <v>395</v>
      </c>
      <c r="C689" s="221"/>
      <c r="D689" s="65" t="s">
        <v>314</v>
      </c>
      <c r="E689" s="65">
        <f t="shared" ref="E689:O689" si="105">SUM(E673:E688)</f>
        <v>14</v>
      </c>
      <c r="F689" s="104">
        <f t="shared" si="105"/>
        <v>11</v>
      </c>
      <c r="G689" s="128">
        <f t="shared" si="105"/>
        <v>7</v>
      </c>
      <c r="H689" s="128">
        <f t="shared" si="105"/>
        <v>7</v>
      </c>
      <c r="I689" s="128">
        <f t="shared" si="105"/>
        <v>6</v>
      </c>
      <c r="J689" s="128">
        <f t="shared" si="105"/>
        <v>6</v>
      </c>
      <c r="K689" s="128">
        <f t="shared" si="105"/>
        <v>5</v>
      </c>
      <c r="L689" s="128">
        <f t="shared" si="105"/>
        <v>7</v>
      </c>
      <c r="M689" s="128">
        <f t="shared" si="105"/>
        <v>9</v>
      </c>
      <c r="N689" s="128">
        <f t="shared" si="105"/>
        <v>9</v>
      </c>
      <c r="O689" s="129">
        <f t="shared" si="105"/>
        <v>10</v>
      </c>
      <c r="P689" s="104">
        <f>MIN(F689:O689)</f>
        <v>5</v>
      </c>
      <c r="Q689" s="128">
        <f>E689-P689</f>
        <v>9</v>
      </c>
      <c r="R689" s="72">
        <f>Q689/E689</f>
        <v>0.6428571428571429</v>
      </c>
      <c r="S689" s="1"/>
      <c r="T689" s="1"/>
      <c r="U689" s="1"/>
    </row>
    <row r="690" spans="1:21" ht="9.75" customHeight="1" x14ac:dyDescent="0.4">
      <c r="A690" s="1"/>
      <c r="B690" s="1"/>
      <c r="C690" s="191" t="s">
        <v>95</v>
      </c>
      <c r="D690" s="191" t="s">
        <v>300</v>
      </c>
      <c r="E690" s="191"/>
      <c r="F690" s="283"/>
      <c r="G690" s="284"/>
      <c r="H690" s="284"/>
      <c r="I690" s="284"/>
      <c r="J690" s="284"/>
      <c r="K690" s="284"/>
      <c r="L690" s="284"/>
      <c r="M690" s="284"/>
      <c r="N690" s="284"/>
      <c r="O690" s="285"/>
      <c r="P690" s="283"/>
      <c r="Q690" s="284"/>
      <c r="R690" s="286"/>
      <c r="S690" s="1"/>
      <c r="T690" s="1"/>
      <c r="U690" s="1"/>
    </row>
    <row r="691" spans="1:21" ht="9.75" customHeight="1" x14ac:dyDescent="0.4">
      <c r="A691" s="1"/>
      <c r="B691" s="1"/>
      <c r="C691" s="220"/>
      <c r="D691" s="220" t="s">
        <v>301</v>
      </c>
      <c r="E691" s="220">
        <v>120</v>
      </c>
      <c r="F691" s="287">
        <v>1</v>
      </c>
      <c r="G691" s="288">
        <v>1</v>
      </c>
      <c r="H691" s="288">
        <v>0</v>
      </c>
      <c r="I691" s="288">
        <v>1</v>
      </c>
      <c r="J691" s="288">
        <v>0</v>
      </c>
      <c r="K691" s="292">
        <v>0</v>
      </c>
      <c r="L691" s="292">
        <v>3</v>
      </c>
      <c r="M691" s="292">
        <v>0</v>
      </c>
      <c r="N691" s="292">
        <v>5</v>
      </c>
      <c r="O691" s="297">
        <v>11</v>
      </c>
      <c r="P691" s="287">
        <f>MIN(F691:O691)</f>
        <v>0</v>
      </c>
      <c r="Q691" s="288">
        <f>E691-P691</f>
        <v>120</v>
      </c>
      <c r="R691" s="290">
        <f>Q691/E691</f>
        <v>1</v>
      </c>
      <c r="S691" s="1"/>
      <c r="T691" s="1"/>
      <c r="U691" s="1"/>
    </row>
    <row r="692" spans="1:21" ht="9.75" customHeight="1" x14ac:dyDescent="0.4">
      <c r="A692" s="1"/>
      <c r="B692" s="1"/>
      <c r="C692" s="220"/>
      <c r="D692" s="220" t="s">
        <v>303</v>
      </c>
      <c r="E692" s="220"/>
      <c r="F692" s="287"/>
      <c r="G692" s="288"/>
      <c r="H692" s="288"/>
      <c r="I692" s="288"/>
      <c r="J692" s="288"/>
      <c r="K692" s="298"/>
      <c r="L692" s="298"/>
      <c r="M692" s="298"/>
      <c r="N692" s="298"/>
      <c r="O692" s="299"/>
      <c r="P692" s="287"/>
      <c r="Q692" s="288"/>
      <c r="R692" s="290"/>
      <c r="S692" s="1"/>
      <c r="T692" s="1"/>
      <c r="U692" s="1"/>
    </row>
    <row r="693" spans="1:21" ht="9.75" customHeight="1" x14ac:dyDescent="0.4">
      <c r="A693" s="1"/>
      <c r="B693" s="1"/>
      <c r="C693" s="220"/>
      <c r="D693" s="220" t="s">
        <v>421</v>
      </c>
      <c r="E693" s="220">
        <v>13</v>
      </c>
      <c r="F693" s="287">
        <v>4</v>
      </c>
      <c r="G693" s="288">
        <v>0</v>
      </c>
      <c r="H693" s="288">
        <v>0</v>
      </c>
      <c r="I693" s="288">
        <v>0</v>
      </c>
      <c r="J693" s="288">
        <v>0</v>
      </c>
      <c r="K693" s="292">
        <v>0</v>
      </c>
      <c r="L693" s="292">
        <v>0</v>
      </c>
      <c r="M693" s="292">
        <v>0</v>
      </c>
      <c r="N693" s="292">
        <v>0</v>
      </c>
      <c r="O693" s="297">
        <v>3</v>
      </c>
      <c r="P693" s="287">
        <f>MIN(F693:O693)</f>
        <v>0</v>
      </c>
      <c r="Q693" s="288">
        <f>E693-P693</f>
        <v>13</v>
      </c>
      <c r="R693" s="290">
        <f>Q693/E693</f>
        <v>1</v>
      </c>
      <c r="S693" s="1"/>
      <c r="T693" s="1"/>
      <c r="U693" s="1"/>
    </row>
    <row r="694" spans="1:21" ht="9.75" customHeight="1" x14ac:dyDescent="0.4">
      <c r="A694" s="1"/>
      <c r="B694" s="1"/>
      <c r="C694" s="220"/>
      <c r="D694" s="220" t="s">
        <v>307</v>
      </c>
      <c r="E694" s="220"/>
      <c r="F694" s="287"/>
      <c r="G694" s="288"/>
      <c r="H694" s="288"/>
      <c r="I694" s="288"/>
      <c r="J694" s="288"/>
      <c r="K694" s="288"/>
      <c r="L694" s="288"/>
      <c r="M694" s="288"/>
      <c r="N694" s="288"/>
      <c r="O694" s="289"/>
      <c r="P694" s="287"/>
      <c r="Q694" s="288"/>
      <c r="R694" s="290"/>
      <c r="S694" s="1"/>
      <c r="T694" s="1"/>
      <c r="U694" s="1"/>
    </row>
    <row r="695" spans="1:21" ht="9.75" customHeight="1" x14ac:dyDescent="0.4">
      <c r="A695" s="1"/>
      <c r="B695" s="1"/>
      <c r="C695" s="220"/>
      <c r="D695" s="312" t="s">
        <v>426</v>
      </c>
      <c r="E695" s="313">
        <v>2</v>
      </c>
      <c r="F695" s="288">
        <v>1</v>
      </c>
      <c r="G695" s="288">
        <v>1</v>
      </c>
      <c r="H695" s="288">
        <v>1</v>
      </c>
      <c r="I695" s="288">
        <v>1</v>
      </c>
      <c r="J695" s="288">
        <v>0</v>
      </c>
      <c r="K695" s="314">
        <v>1</v>
      </c>
      <c r="L695" s="314">
        <v>1</v>
      </c>
      <c r="M695" s="314">
        <v>1</v>
      </c>
      <c r="N695" s="314">
        <v>1</v>
      </c>
      <c r="O695" s="315">
        <v>1</v>
      </c>
      <c r="P695" s="287">
        <f>MIN(F695:O695)</f>
        <v>0</v>
      </c>
      <c r="Q695" s="294">
        <f>E695-P695</f>
        <v>2</v>
      </c>
      <c r="R695" s="290">
        <f>Q695/E695</f>
        <v>1</v>
      </c>
      <c r="S695" s="1"/>
      <c r="T695" s="1"/>
      <c r="U695" s="1"/>
    </row>
    <row r="696" spans="1:21" ht="9.75" customHeight="1" x14ac:dyDescent="0.4">
      <c r="A696" s="1"/>
      <c r="B696" s="1"/>
      <c r="C696" s="287"/>
      <c r="D696" s="312" t="s">
        <v>427</v>
      </c>
      <c r="E696" s="316"/>
      <c r="F696" s="302"/>
      <c r="G696" s="302"/>
      <c r="H696" s="302"/>
      <c r="I696" s="302"/>
      <c r="J696" s="302"/>
      <c r="K696" s="317"/>
      <c r="L696" s="317"/>
      <c r="M696" s="317"/>
      <c r="N696" s="317"/>
      <c r="O696" s="316"/>
      <c r="P696" s="288"/>
      <c r="Q696" s="294"/>
      <c r="R696" s="290"/>
      <c r="S696" s="1"/>
      <c r="T696" s="1"/>
      <c r="U696" s="1"/>
    </row>
    <row r="697" spans="1:21" ht="9.75" customHeight="1" x14ac:dyDescent="0.4">
      <c r="A697" s="1"/>
      <c r="B697" s="1"/>
      <c r="C697" s="220"/>
      <c r="D697" s="220" t="s">
        <v>372</v>
      </c>
      <c r="E697" s="318">
        <v>10</v>
      </c>
      <c r="F697" s="319">
        <v>3</v>
      </c>
      <c r="G697" s="320">
        <v>3</v>
      </c>
      <c r="H697" s="321">
        <v>1</v>
      </c>
      <c r="I697" s="321">
        <v>2</v>
      </c>
      <c r="J697" s="321">
        <v>1</v>
      </c>
      <c r="K697" s="321">
        <v>3</v>
      </c>
      <c r="L697" s="321">
        <v>0</v>
      </c>
      <c r="M697" s="321">
        <v>0</v>
      </c>
      <c r="N697" s="321">
        <v>2</v>
      </c>
      <c r="O697" s="322">
        <v>3</v>
      </c>
      <c r="P697" s="287">
        <f>MIN(F697:O697)</f>
        <v>0</v>
      </c>
      <c r="Q697" s="288">
        <f>E697-P697</f>
        <v>10</v>
      </c>
      <c r="R697" s="290">
        <f>Q697/E697</f>
        <v>1</v>
      </c>
      <c r="S697" s="1"/>
      <c r="T697" s="1"/>
      <c r="U697" s="1"/>
    </row>
    <row r="698" spans="1:21" ht="9.75" customHeight="1" x14ac:dyDescent="0.4">
      <c r="A698" s="1"/>
      <c r="B698" s="1"/>
      <c r="C698" s="220"/>
      <c r="D698" s="220" t="s">
        <v>374</v>
      </c>
      <c r="E698" s="323"/>
      <c r="F698" s="324"/>
      <c r="G698" s="325"/>
      <c r="H698" s="325"/>
      <c r="I698" s="325"/>
      <c r="J698" s="325"/>
      <c r="K698" s="325"/>
      <c r="L698" s="325"/>
      <c r="M698" s="325"/>
      <c r="N698" s="325"/>
      <c r="O698" s="326"/>
      <c r="P698" s="287"/>
      <c r="Q698" s="288"/>
      <c r="R698" s="290"/>
      <c r="S698" s="1"/>
      <c r="T698" s="1"/>
      <c r="U698" s="1"/>
    </row>
    <row r="699" spans="1:21" ht="9.75" customHeight="1" x14ac:dyDescent="0.4">
      <c r="A699" s="1"/>
      <c r="B699" s="1"/>
      <c r="C699" s="220"/>
      <c r="D699" s="220" t="s">
        <v>374</v>
      </c>
      <c r="E699" s="323"/>
      <c r="F699" s="324"/>
      <c r="G699" s="325"/>
      <c r="H699" s="325"/>
      <c r="I699" s="325"/>
      <c r="J699" s="325"/>
      <c r="K699" s="325"/>
      <c r="L699" s="325"/>
      <c r="M699" s="325"/>
      <c r="N699" s="325"/>
      <c r="O699" s="326"/>
      <c r="P699" s="287"/>
      <c r="Q699" s="288"/>
      <c r="R699" s="290"/>
      <c r="S699" s="1"/>
      <c r="T699" s="1"/>
      <c r="U699" s="1"/>
    </row>
    <row r="700" spans="1:21" ht="9.75" customHeight="1" x14ac:dyDescent="0.4">
      <c r="A700" s="1"/>
      <c r="B700" s="1"/>
      <c r="C700" s="220"/>
      <c r="D700" s="220" t="s">
        <v>374</v>
      </c>
      <c r="E700" s="323"/>
      <c r="F700" s="324"/>
      <c r="G700" s="325"/>
      <c r="H700" s="325"/>
      <c r="I700" s="325"/>
      <c r="J700" s="325"/>
      <c r="K700" s="325"/>
      <c r="L700" s="325"/>
      <c r="M700" s="325"/>
      <c r="N700" s="325"/>
      <c r="O700" s="326"/>
      <c r="P700" s="287"/>
      <c r="Q700" s="288"/>
      <c r="R700" s="290"/>
      <c r="S700" s="1"/>
      <c r="T700" s="1"/>
      <c r="U700" s="1"/>
    </row>
    <row r="701" spans="1:21" ht="9.75" customHeight="1" x14ac:dyDescent="0.4">
      <c r="A701" s="1"/>
      <c r="B701" s="1"/>
      <c r="C701" s="220"/>
      <c r="D701" s="220" t="s">
        <v>374</v>
      </c>
      <c r="E701" s="323"/>
      <c r="F701" s="324"/>
      <c r="G701" s="325"/>
      <c r="H701" s="325"/>
      <c r="I701" s="325"/>
      <c r="J701" s="325"/>
      <c r="K701" s="325"/>
      <c r="L701" s="325"/>
      <c r="M701" s="325"/>
      <c r="N701" s="325"/>
      <c r="O701" s="326"/>
      <c r="P701" s="287"/>
      <c r="Q701" s="288"/>
      <c r="R701" s="290"/>
      <c r="S701" s="1"/>
      <c r="T701" s="1"/>
      <c r="U701" s="1"/>
    </row>
    <row r="702" spans="1:21" ht="9.75" customHeight="1" x14ac:dyDescent="0.4">
      <c r="A702" s="1"/>
      <c r="B702" s="1"/>
      <c r="C702" s="220"/>
      <c r="D702" s="220" t="s">
        <v>310</v>
      </c>
      <c r="E702" s="323">
        <v>5</v>
      </c>
      <c r="F702" s="324">
        <v>5</v>
      </c>
      <c r="G702" s="325">
        <v>2</v>
      </c>
      <c r="H702" s="325">
        <v>0</v>
      </c>
      <c r="I702" s="325">
        <v>1</v>
      </c>
      <c r="J702" s="325">
        <v>1</v>
      </c>
      <c r="K702" s="327">
        <v>0</v>
      </c>
      <c r="L702" s="327">
        <v>0</v>
      </c>
      <c r="M702" s="327">
        <v>0</v>
      </c>
      <c r="N702" s="327">
        <v>0</v>
      </c>
      <c r="O702" s="328">
        <v>0</v>
      </c>
      <c r="P702" s="287">
        <f>MIN(F702:O702)</f>
        <v>0</v>
      </c>
      <c r="Q702" s="288">
        <f>E702-P702</f>
        <v>5</v>
      </c>
      <c r="R702" s="290">
        <f>Q702/E702</f>
        <v>1</v>
      </c>
      <c r="S702" s="1"/>
      <c r="T702" s="1"/>
      <c r="U702" s="1"/>
    </row>
    <row r="703" spans="1:21" ht="9.75" customHeight="1" x14ac:dyDescent="0.4">
      <c r="A703" s="1"/>
      <c r="B703" s="1"/>
      <c r="C703" s="220"/>
      <c r="D703" s="220" t="s">
        <v>311</v>
      </c>
      <c r="E703" s="220"/>
      <c r="F703" s="287"/>
      <c r="G703" s="288"/>
      <c r="H703" s="288"/>
      <c r="I703" s="288"/>
      <c r="J703" s="288"/>
      <c r="K703" s="298"/>
      <c r="L703" s="298"/>
      <c r="M703" s="298"/>
      <c r="N703" s="298"/>
      <c r="O703" s="299"/>
      <c r="P703" s="287"/>
      <c r="Q703" s="288"/>
      <c r="R703" s="290"/>
      <c r="S703" s="1"/>
      <c r="T703" s="1"/>
      <c r="U703" s="1"/>
    </row>
    <row r="704" spans="1:21" ht="9.75" customHeight="1" x14ac:dyDescent="0.4">
      <c r="A704" s="1"/>
      <c r="B704" s="1"/>
      <c r="C704" s="220"/>
      <c r="D704" s="220" t="s">
        <v>312</v>
      </c>
      <c r="E704" s="220">
        <v>2</v>
      </c>
      <c r="F704" s="287">
        <v>2</v>
      </c>
      <c r="G704" s="288">
        <v>0</v>
      </c>
      <c r="H704" s="288">
        <v>0</v>
      </c>
      <c r="I704" s="288">
        <v>2</v>
      </c>
      <c r="J704" s="288">
        <v>0</v>
      </c>
      <c r="K704" s="292">
        <v>1</v>
      </c>
      <c r="L704" s="292">
        <v>1</v>
      </c>
      <c r="M704" s="292">
        <v>1</v>
      </c>
      <c r="N704" s="292">
        <v>1</v>
      </c>
      <c r="O704" s="297">
        <v>1</v>
      </c>
      <c r="P704" s="287">
        <f>MIN(F704:O704)</f>
        <v>0</v>
      </c>
      <c r="Q704" s="288">
        <f>E704-P704</f>
        <v>2</v>
      </c>
      <c r="R704" s="290">
        <f>Q704/E704</f>
        <v>1</v>
      </c>
      <c r="S704" s="1"/>
      <c r="T704" s="1"/>
      <c r="U704" s="1"/>
    </row>
    <row r="705" spans="1:21" ht="9.75" customHeight="1" x14ac:dyDescent="0.4">
      <c r="A705" s="1"/>
      <c r="B705" s="1"/>
      <c r="C705" s="220"/>
      <c r="D705" s="220" t="s">
        <v>313</v>
      </c>
      <c r="E705" s="220"/>
      <c r="F705" s="287"/>
      <c r="G705" s="288"/>
      <c r="H705" s="288"/>
      <c r="I705" s="288"/>
      <c r="J705" s="288"/>
      <c r="K705" s="288"/>
      <c r="L705" s="288"/>
      <c r="M705" s="288"/>
      <c r="N705" s="288"/>
      <c r="O705" s="289"/>
      <c r="P705" s="287"/>
      <c r="Q705" s="288"/>
      <c r="R705" s="290"/>
      <c r="S705" s="1"/>
      <c r="T705" s="1"/>
      <c r="U705" s="1"/>
    </row>
    <row r="706" spans="1:21" ht="9.75" customHeight="1" x14ac:dyDescent="0.4">
      <c r="A706" s="1"/>
      <c r="B706" s="1"/>
      <c r="C706" s="221"/>
      <c r="D706" s="65" t="s">
        <v>314</v>
      </c>
      <c r="E706" s="104">
        <f>SUBTOTAL(9,E690:E705)</f>
        <v>152</v>
      </c>
      <c r="F706" s="104">
        <f t="shared" ref="F706:O706" si="106">SUM(F690:F705)</f>
        <v>16</v>
      </c>
      <c r="G706" s="128">
        <f t="shared" si="106"/>
        <v>7</v>
      </c>
      <c r="H706" s="128">
        <f t="shared" si="106"/>
        <v>2</v>
      </c>
      <c r="I706" s="128">
        <f t="shared" si="106"/>
        <v>7</v>
      </c>
      <c r="J706" s="128">
        <f t="shared" si="106"/>
        <v>2</v>
      </c>
      <c r="K706" s="128">
        <f t="shared" si="106"/>
        <v>5</v>
      </c>
      <c r="L706" s="128">
        <f t="shared" si="106"/>
        <v>5</v>
      </c>
      <c r="M706" s="128">
        <f t="shared" si="106"/>
        <v>2</v>
      </c>
      <c r="N706" s="128">
        <f t="shared" si="106"/>
        <v>9</v>
      </c>
      <c r="O706" s="129">
        <f t="shared" si="106"/>
        <v>19</v>
      </c>
      <c r="P706" s="128">
        <f>MIN(F706:O706)</f>
        <v>2</v>
      </c>
      <c r="Q706" s="128">
        <f>E706-P706</f>
        <v>150</v>
      </c>
      <c r="R706" s="72">
        <f>Q706/E706</f>
        <v>0.98684210526315785</v>
      </c>
      <c r="S706" s="1"/>
      <c r="T706" s="1"/>
      <c r="U706" s="1"/>
    </row>
    <row r="707" spans="1:21" ht="9.75" customHeight="1" x14ac:dyDescent="0.4">
      <c r="A707" s="1"/>
      <c r="B707" s="1"/>
      <c r="C707" s="191" t="s">
        <v>113</v>
      </c>
      <c r="D707" s="15" t="s">
        <v>300</v>
      </c>
      <c r="E707" s="15"/>
      <c r="F707" s="32"/>
      <c r="G707" s="6"/>
      <c r="H707" s="6"/>
      <c r="I707" s="6"/>
      <c r="J707" s="6"/>
      <c r="K707" s="6"/>
      <c r="L707" s="6"/>
      <c r="M707" s="6"/>
      <c r="N707" s="6"/>
      <c r="O707" s="31"/>
      <c r="P707" s="73"/>
      <c r="Q707" s="108"/>
      <c r="R707" s="188"/>
      <c r="S707" s="1"/>
      <c r="T707" s="1"/>
      <c r="U707" s="1"/>
    </row>
    <row r="708" spans="1:21" ht="9.75" customHeight="1" x14ac:dyDescent="0.4">
      <c r="A708" s="1"/>
      <c r="B708" s="1"/>
      <c r="C708" s="220"/>
      <c r="D708" s="17" t="s">
        <v>301</v>
      </c>
      <c r="E708" s="17"/>
      <c r="F708" s="32"/>
      <c r="G708" s="6"/>
      <c r="H708" s="6"/>
      <c r="I708" s="6"/>
      <c r="J708" s="6"/>
      <c r="K708" s="6"/>
      <c r="L708" s="6"/>
      <c r="M708" s="6"/>
      <c r="N708" s="6"/>
      <c r="O708" s="31"/>
      <c r="P708" s="32"/>
      <c r="Q708" s="6"/>
      <c r="R708" s="59"/>
      <c r="S708" s="1"/>
      <c r="T708" s="1"/>
      <c r="U708" s="1"/>
    </row>
    <row r="709" spans="1:21" ht="9.75" customHeight="1" x14ac:dyDescent="0.4">
      <c r="A709" s="1"/>
      <c r="B709" s="1"/>
      <c r="C709" s="220"/>
      <c r="D709" s="17" t="s">
        <v>303</v>
      </c>
      <c r="E709" s="17"/>
      <c r="F709" s="32"/>
      <c r="G709" s="6"/>
      <c r="H709" s="6"/>
      <c r="I709" s="6"/>
      <c r="J709" s="6"/>
      <c r="K709" s="6"/>
      <c r="L709" s="6"/>
      <c r="M709" s="6"/>
      <c r="N709" s="6"/>
      <c r="O709" s="31"/>
      <c r="P709" s="32"/>
      <c r="Q709" s="6"/>
      <c r="R709" s="59"/>
      <c r="S709" s="1"/>
      <c r="T709" s="1"/>
      <c r="U709" s="1"/>
    </row>
    <row r="710" spans="1:21" ht="9.75" customHeight="1" x14ac:dyDescent="0.4">
      <c r="A710" s="1"/>
      <c r="B710" s="1"/>
      <c r="C710" s="220"/>
      <c r="D710" s="17" t="s">
        <v>369</v>
      </c>
      <c r="E710" s="17"/>
      <c r="F710" s="32"/>
      <c r="G710" s="6"/>
      <c r="H710" s="6"/>
      <c r="I710" s="6"/>
      <c r="J710" s="6"/>
      <c r="K710" s="6"/>
      <c r="L710" s="6"/>
      <c r="M710" s="6"/>
      <c r="N710" s="6"/>
      <c r="O710" s="31"/>
      <c r="P710" s="32"/>
      <c r="Q710" s="6"/>
      <c r="R710" s="59"/>
      <c r="S710" s="1"/>
      <c r="T710" s="1"/>
      <c r="U710" s="1"/>
    </row>
    <row r="711" spans="1:21" ht="9.75" customHeight="1" x14ac:dyDescent="0.4">
      <c r="A711" s="1"/>
      <c r="B711" s="1"/>
      <c r="C711" s="220"/>
      <c r="D711" s="17" t="s">
        <v>369</v>
      </c>
      <c r="E711" s="17"/>
      <c r="F711" s="32"/>
      <c r="G711" s="6"/>
      <c r="H711" s="6"/>
      <c r="I711" s="6"/>
      <c r="J711" s="6"/>
      <c r="K711" s="6"/>
      <c r="L711" s="6"/>
      <c r="M711" s="6"/>
      <c r="N711" s="6"/>
      <c r="O711" s="31"/>
      <c r="P711" s="32"/>
      <c r="Q711" s="6"/>
      <c r="R711" s="59"/>
      <c r="S711" s="1"/>
      <c r="T711" s="1"/>
      <c r="U711" s="1"/>
    </row>
    <row r="712" spans="1:21" ht="9.75" customHeight="1" x14ac:dyDescent="0.4">
      <c r="A712" s="1"/>
      <c r="B712" s="1"/>
      <c r="C712" s="220"/>
      <c r="D712" s="17" t="s">
        <v>308</v>
      </c>
      <c r="E712" s="17"/>
      <c r="F712" s="32"/>
      <c r="G712" s="6"/>
      <c r="H712" s="6"/>
      <c r="I712" s="6"/>
      <c r="J712" s="6"/>
      <c r="K712" s="6"/>
      <c r="L712" s="6"/>
      <c r="M712" s="6"/>
      <c r="N712" s="6"/>
      <c r="O712" s="31"/>
      <c r="P712" s="32"/>
      <c r="Q712" s="6"/>
      <c r="R712" s="59"/>
      <c r="S712" s="1"/>
      <c r="T712" s="1"/>
      <c r="U712" s="1"/>
    </row>
    <row r="713" spans="1:21" ht="9.75" customHeight="1" x14ac:dyDescent="0.4">
      <c r="A713" s="1"/>
      <c r="B713" s="1"/>
      <c r="C713" s="220"/>
      <c r="D713" s="17" t="s">
        <v>374</v>
      </c>
      <c r="E713" s="17"/>
      <c r="F713" s="32"/>
      <c r="G713" s="6"/>
      <c r="H713" s="6"/>
      <c r="I713" s="6"/>
      <c r="J713" s="6"/>
      <c r="K713" s="6"/>
      <c r="L713" s="6"/>
      <c r="M713" s="6"/>
      <c r="N713" s="6"/>
      <c r="O713" s="31"/>
      <c r="P713" s="32"/>
      <c r="Q713" s="6"/>
      <c r="R713" s="59"/>
      <c r="S713" s="1"/>
      <c r="T713" s="1"/>
      <c r="U713" s="1"/>
    </row>
    <row r="714" spans="1:21" ht="9.75" customHeight="1" x14ac:dyDescent="0.4">
      <c r="A714" s="1"/>
      <c r="B714" s="1"/>
      <c r="C714" s="220"/>
      <c r="D714" s="17" t="s">
        <v>374</v>
      </c>
      <c r="E714" s="17"/>
      <c r="F714" s="32"/>
      <c r="G714" s="6"/>
      <c r="H714" s="6"/>
      <c r="I714" s="6"/>
      <c r="J714" s="6"/>
      <c r="K714" s="6"/>
      <c r="L714" s="6"/>
      <c r="M714" s="6"/>
      <c r="N714" s="6"/>
      <c r="O714" s="31"/>
      <c r="P714" s="32"/>
      <c r="Q714" s="6"/>
      <c r="R714" s="59"/>
      <c r="S714" s="1"/>
      <c r="T714" s="1"/>
      <c r="U714" s="1"/>
    </row>
    <row r="715" spans="1:21" ht="9.75" customHeight="1" x14ac:dyDescent="0.4">
      <c r="A715" s="1"/>
      <c r="B715" s="1"/>
      <c r="C715" s="220"/>
      <c r="D715" s="17" t="s">
        <v>374</v>
      </c>
      <c r="E715" s="17"/>
      <c r="F715" s="32"/>
      <c r="G715" s="6"/>
      <c r="H715" s="6"/>
      <c r="I715" s="6"/>
      <c r="J715" s="6"/>
      <c r="K715" s="6"/>
      <c r="L715" s="6"/>
      <c r="M715" s="6"/>
      <c r="N715" s="6"/>
      <c r="O715" s="31"/>
      <c r="P715" s="32"/>
      <c r="Q715" s="6"/>
      <c r="R715" s="59"/>
      <c r="S715" s="1"/>
      <c r="T715" s="1"/>
      <c r="U715" s="1"/>
    </row>
    <row r="716" spans="1:21" ht="9.75" customHeight="1" x14ac:dyDescent="0.4">
      <c r="A716" s="1"/>
      <c r="B716" s="1"/>
      <c r="C716" s="220"/>
      <c r="D716" s="17" t="s">
        <v>374</v>
      </c>
      <c r="E716" s="17"/>
      <c r="F716" s="32"/>
      <c r="G716" s="6"/>
      <c r="H716" s="6"/>
      <c r="I716" s="6"/>
      <c r="J716" s="6"/>
      <c r="K716" s="6"/>
      <c r="L716" s="6"/>
      <c r="M716" s="6"/>
      <c r="N716" s="6"/>
      <c r="O716" s="31"/>
      <c r="P716" s="32"/>
      <c r="Q716" s="6"/>
      <c r="R716" s="59"/>
      <c r="S716" s="1"/>
      <c r="T716" s="1"/>
      <c r="U716" s="1"/>
    </row>
    <row r="717" spans="1:21" ht="9.75" customHeight="1" x14ac:dyDescent="0.4">
      <c r="A717" s="1"/>
      <c r="B717" s="1"/>
      <c r="C717" s="220"/>
      <c r="D717" s="17" t="s">
        <v>374</v>
      </c>
      <c r="E717" s="17"/>
      <c r="F717" s="32"/>
      <c r="G717" s="6"/>
      <c r="H717" s="6"/>
      <c r="I717" s="6"/>
      <c r="J717" s="6"/>
      <c r="K717" s="6"/>
      <c r="L717" s="6"/>
      <c r="M717" s="6"/>
      <c r="N717" s="6"/>
      <c r="O717" s="31"/>
      <c r="P717" s="32"/>
      <c r="Q717" s="6"/>
      <c r="R717" s="59"/>
      <c r="S717" s="1"/>
      <c r="T717" s="1"/>
      <c r="U717" s="1"/>
    </row>
    <row r="718" spans="1:21" ht="9.75" customHeight="1" x14ac:dyDescent="0.4">
      <c r="A718" s="1"/>
      <c r="B718" s="1"/>
      <c r="C718" s="220"/>
      <c r="D718" s="17" t="s">
        <v>374</v>
      </c>
      <c r="E718" s="17"/>
      <c r="F718" s="32"/>
      <c r="G718" s="6"/>
      <c r="H718" s="6"/>
      <c r="I718" s="6"/>
      <c r="J718" s="6"/>
      <c r="K718" s="6"/>
      <c r="L718" s="6"/>
      <c r="M718" s="6"/>
      <c r="N718" s="6"/>
      <c r="O718" s="31"/>
      <c r="P718" s="32"/>
      <c r="Q718" s="6"/>
      <c r="R718" s="59"/>
      <c r="S718" s="1"/>
      <c r="T718" s="1"/>
      <c r="U718" s="1"/>
    </row>
    <row r="719" spans="1:21" ht="9.75" customHeight="1" x14ac:dyDescent="0.4">
      <c r="A719" s="1"/>
      <c r="B719" s="1"/>
      <c r="C719" s="220"/>
      <c r="D719" s="17" t="s">
        <v>310</v>
      </c>
      <c r="E719" s="17"/>
      <c r="F719" s="32"/>
      <c r="G719" s="6"/>
      <c r="H719" s="6"/>
      <c r="I719" s="6"/>
      <c r="J719" s="6"/>
      <c r="K719" s="74"/>
      <c r="L719" s="74"/>
      <c r="M719" s="74"/>
      <c r="N719" s="74"/>
      <c r="O719" s="123"/>
      <c r="P719" s="32"/>
      <c r="Q719" s="6"/>
      <c r="R719" s="59"/>
      <c r="S719" s="1"/>
      <c r="T719" s="1"/>
      <c r="U719" s="1"/>
    </row>
    <row r="720" spans="1:21" ht="9.75" customHeight="1" x14ac:dyDescent="0.4">
      <c r="A720" s="1"/>
      <c r="B720" s="1"/>
      <c r="C720" s="220"/>
      <c r="D720" s="17" t="s">
        <v>311</v>
      </c>
      <c r="E720" s="17">
        <v>1</v>
      </c>
      <c r="F720" s="32">
        <v>0</v>
      </c>
      <c r="G720" s="6">
        <v>0</v>
      </c>
      <c r="H720" s="6">
        <v>0</v>
      </c>
      <c r="I720" s="6">
        <v>0</v>
      </c>
      <c r="J720" s="6">
        <v>0</v>
      </c>
      <c r="K720" s="74">
        <v>0</v>
      </c>
      <c r="L720" s="74">
        <v>0</v>
      </c>
      <c r="M720" s="74">
        <v>0</v>
      </c>
      <c r="N720" s="74">
        <v>0</v>
      </c>
      <c r="O720" s="123">
        <v>0</v>
      </c>
      <c r="P720" s="32">
        <f>MIN(F720:O720)</f>
        <v>0</v>
      </c>
      <c r="Q720" s="6">
        <f>E720-P720</f>
        <v>1</v>
      </c>
      <c r="R720" s="59">
        <f>Q720/E720</f>
        <v>1</v>
      </c>
      <c r="S720" s="1"/>
      <c r="T720" s="1"/>
      <c r="U720" s="1"/>
    </row>
    <row r="721" spans="1:21" ht="9.75" customHeight="1" x14ac:dyDescent="0.4">
      <c r="A721" s="1"/>
      <c r="B721" s="1"/>
      <c r="C721" s="220"/>
      <c r="D721" s="17" t="s">
        <v>312</v>
      </c>
      <c r="E721" s="17"/>
      <c r="F721" s="32"/>
      <c r="G721" s="6"/>
      <c r="H721" s="6"/>
      <c r="I721" s="6"/>
      <c r="J721" s="6"/>
      <c r="K721" s="6"/>
      <c r="L721" s="6"/>
      <c r="M721" s="6"/>
      <c r="N721" s="6"/>
      <c r="O721" s="31"/>
      <c r="P721" s="32"/>
      <c r="Q721" s="6"/>
      <c r="R721" s="59"/>
      <c r="S721" s="1"/>
      <c r="T721" s="1"/>
      <c r="U721" s="1"/>
    </row>
    <row r="722" spans="1:21" ht="9.75" customHeight="1" x14ac:dyDescent="0.4">
      <c r="A722" s="1"/>
      <c r="B722" s="1"/>
      <c r="C722" s="220"/>
      <c r="D722" s="17" t="s">
        <v>313</v>
      </c>
      <c r="E722" s="17"/>
      <c r="F722" s="32"/>
      <c r="G722" s="6"/>
      <c r="H722" s="6"/>
      <c r="I722" s="6"/>
      <c r="J722" s="6"/>
      <c r="K722" s="6"/>
      <c r="L722" s="6"/>
      <c r="M722" s="6"/>
      <c r="N722" s="6"/>
      <c r="O722" s="31"/>
      <c r="P722" s="32"/>
      <c r="Q722" s="6"/>
      <c r="R722" s="59"/>
      <c r="S722" s="1"/>
      <c r="T722" s="1"/>
      <c r="U722" s="1"/>
    </row>
    <row r="723" spans="1:21" ht="9.75" customHeight="1" x14ac:dyDescent="0.4">
      <c r="A723" s="1"/>
      <c r="B723" s="1" t="s">
        <v>395</v>
      </c>
      <c r="C723" s="221"/>
      <c r="D723" s="65" t="s">
        <v>314</v>
      </c>
      <c r="E723" s="65">
        <f t="shared" ref="E723:O723" si="107">SUM(E707:E722)</f>
        <v>1</v>
      </c>
      <c r="F723" s="104">
        <f t="shared" si="107"/>
        <v>0</v>
      </c>
      <c r="G723" s="128">
        <f t="shared" si="107"/>
        <v>0</v>
      </c>
      <c r="H723" s="128">
        <f t="shared" si="107"/>
        <v>0</v>
      </c>
      <c r="I723" s="128">
        <f t="shared" si="107"/>
        <v>0</v>
      </c>
      <c r="J723" s="128">
        <f t="shared" si="107"/>
        <v>0</v>
      </c>
      <c r="K723" s="128">
        <f t="shared" si="107"/>
        <v>0</v>
      </c>
      <c r="L723" s="128">
        <f t="shared" si="107"/>
        <v>0</v>
      </c>
      <c r="M723" s="128">
        <f t="shared" si="107"/>
        <v>0</v>
      </c>
      <c r="N723" s="128">
        <f t="shared" si="107"/>
        <v>0</v>
      </c>
      <c r="O723" s="129">
        <f t="shared" si="107"/>
        <v>0</v>
      </c>
      <c r="P723" s="104">
        <f>MIN(F723:O723)</f>
        <v>0</v>
      </c>
      <c r="Q723" s="128">
        <f>E723-P723</f>
        <v>1</v>
      </c>
      <c r="R723" s="72">
        <f>Q723/E723</f>
        <v>1</v>
      </c>
      <c r="S723" s="1"/>
      <c r="T723" s="1"/>
      <c r="U723" s="1"/>
    </row>
    <row r="724" spans="1:21" ht="9.75" customHeight="1" x14ac:dyDescent="0.4">
      <c r="A724" s="1"/>
      <c r="B724" s="1"/>
      <c r="C724" s="191" t="s">
        <v>130</v>
      </c>
      <c r="D724" s="191" t="s">
        <v>300</v>
      </c>
      <c r="E724" s="15"/>
      <c r="F724" s="73"/>
      <c r="G724" s="108"/>
      <c r="H724" s="108"/>
      <c r="I724" s="108"/>
      <c r="J724" s="108"/>
      <c r="K724" s="108"/>
      <c r="L724" s="108"/>
      <c r="M724" s="108"/>
      <c r="N724" s="108"/>
      <c r="O724" s="109"/>
      <c r="P724" s="73"/>
      <c r="Q724" s="108"/>
      <c r="R724" s="188"/>
      <c r="S724" s="1"/>
      <c r="T724" s="1"/>
      <c r="U724" s="1"/>
    </row>
    <row r="725" spans="1:21" ht="9.75" customHeight="1" x14ac:dyDescent="0.4">
      <c r="A725" s="1"/>
      <c r="B725" s="1"/>
      <c r="C725" s="220"/>
      <c r="D725" s="17" t="s">
        <v>301</v>
      </c>
      <c r="E725" s="17">
        <v>49</v>
      </c>
      <c r="F725" s="32">
        <v>16</v>
      </c>
      <c r="G725" s="6">
        <v>11</v>
      </c>
      <c r="H725" s="6">
        <v>1</v>
      </c>
      <c r="I725" s="6">
        <v>0</v>
      </c>
      <c r="J725" s="6">
        <v>0</v>
      </c>
      <c r="K725" s="74">
        <v>4</v>
      </c>
      <c r="L725" s="74">
        <v>4</v>
      </c>
      <c r="M725" s="74">
        <v>7</v>
      </c>
      <c r="N725" s="74">
        <v>7</v>
      </c>
      <c r="O725" s="123">
        <v>13</v>
      </c>
      <c r="P725" s="32">
        <f>MIN(F725:O725)</f>
        <v>0</v>
      </c>
      <c r="Q725" s="6">
        <f>E725-P725</f>
        <v>49</v>
      </c>
      <c r="R725" s="59">
        <f>Q725/E725</f>
        <v>1</v>
      </c>
      <c r="S725" s="1"/>
      <c r="T725" s="1"/>
      <c r="U725" s="1"/>
    </row>
    <row r="726" spans="1:21" ht="9.75" customHeight="1" x14ac:dyDescent="0.4">
      <c r="A726" s="1"/>
      <c r="B726" s="1"/>
      <c r="C726" s="220"/>
      <c r="D726" s="17" t="s">
        <v>303</v>
      </c>
      <c r="E726" s="17"/>
      <c r="F726" s="32"/>
      <c r="G726" s="6"/>
      <c r="H726" s="6"/>
      <c r="I726" s="6"/>
      <c r="J726" s="6"/>
      <c r="K726" s="192"/>
      <c r="L726" s="192"/>
      <c r="M726" s="192"/>
      <c r="N726" s="192"/>
      <c r="O726" s="193"/>
      <c r="P726" s="32"/>
      <c r="Q726" s="6"/>
      <c r="R726" s="59"/>
      <c r="S726" s="1"/>
      <c r="T726" s="1"/>
      <c r="U726" s="1"/>
    </row>
    <row r="727" spans="1:21" ht="9.75" customHeight="1" x14ac:dyDescent="0.4">
      <c r="A727" s="1"/>
      <c r="B727" s="1"/>
      <c r="C727" s="17"/>
      <c r="D727" s="17" t="s">
        <v>369</v>
      </c>
      <c r="E727" s="17"/>
      <c r="F727" s="32"/>
      <c r="G727" s="6"/>
      <c r="H727" s="6"/>
      <c r="I727" s="6"/>
      <c r="J727" s="6"/>
      <c r="K727" s="192"/>
      <c r="L727" s="192"/>
      <c r="M727" s="192"/>
      <c r="N727" s="192"/>
      <c r="O727" s="193"/>
      <c r="P727" s="32"/>
      <c r="Q727" s="6"/>
      <c r="R727" s="59"/>
      <c r="S727" s="1"/>
      <c r="T727" s="1"/>
      <c r="U727" s="1"/>
    </row>
    <row r="728" spans="1:21" ht="9.75" customHeight="1" x14ac:dyDescent="0.4">
      <c r="A728" s="1"/>
      <c r="B728" s="1"/>
      <c r="C728" s="17"/>
      <c r="D728" s="17" t="s">
        <v>369</v>
      </c>
      <c r="E728" s="17"/>
      <c r="F728" s="32"/>
      <c r="G728" s="6"/>
      <c r="H728" s="6"/>
      <c r="I728" s="6"/>
      <c r="J728" s="6"/>
      <c r="K728" s="192"/>
      <c r="L728" s="192"/>
      <c r="M728" s="192"/>
      <c r="N728" s="192"/>
      <c r="O728" s="193"/>
      <c r="P728" s="32"/>
      <c r="Q728" s="6"/>
      <c r="R728" s="59"/>
      <c r="S728" s="1"/>
      <c r="T728" s="1"/>
      <c r="U728" s="1"/>
    </row>
    <row r="729" spans="1:21" ht="9.75" customHeight="1" x14ac:dyDescent="0.4">
      <c r="A729" s="1"/>
      <c r="B729" s="1"/>
      <c r="C729" s="17"/>
      <c r="D729" s="17" t="s">
        <v>308</v>
      </c>
      <c r="E729" s="17"/>
      <c r="F729" s="32"/>
      <c r="G729" s="6"/>
      <c r="H729" s="6"/>
      <c r="I729" s="6"/>
      <c r="J729" s="6"/>
      <c r="K729" s="192"/>
      <c r="L729" s="192"/>
      <c r="M729" s="192"/>
      <c r="N729" s="192"/>
      <c r="O729" s="193"/>
      <c r="P729" s="32"/>
      <c r="Q729" s="6"/>
      <c r="R729" s="59"/>
      <c r="S729" s="1"/>
      <c r="T729" s="1"/>
      <c r="U729" s="1"/>
    </row>
    <row r="730" spans="1:21" ht="9.75" customHeight="1" x14ac:dyDescent="0.4">
      <c r="A730" s="1"/>
      <c r="B730" s="1"/>
      <c r="C730" s="17"/>
      <c r="D730" s="17" t="s">
        <v>374</v>
      </c>
      <c r="E730" s="17"/>
      <c r="F730" s="32"/>
      <c r="G730" s="6"/>
      <c r="H730" s="6"/>
      <c r="I730" s="6"/>
      <c r="J730" s="6"/>
      <c r="K730" s="192"/>
      <c r="L730" s="192"/>
      <c r="M730" s="192"/>
      <c r="N730" s="192"/>
      <c r="O730" s="193"/>
      <c r="P730" s="32"/>
      <c r="Q730" s="6"/>
      <c r="R730" s="59"/>
      <c r="S730" s="1"/>
      <c r="T730" s="1"/>
      <c r="U730" s="1"/>
    </row>
    <row r="731" spans="1:21" ht="9.75" customHeight="1" x14ac:dyDescent="0.4">
      <c r="A731" s="1"/>
      <c r="B731" s="1"/>
      <c r="C731" s="17"/>
      <c r="D731" s="17" t="s">
        <v>374</v>
      </c>
      <c r="E731" s="17"/>
      <c r="F731" s="32"/>
      <c r="G731" s="6"/>
      <c r="H731" s="6"/>
      <c r="I731" s="6"/>
      <c r="J731" s="6"/>
      <c r="K731" s="192"/>
      <c r="L731" s="192"/>
      <c r="M731" s="192"/>
      <c r="N731" s="192"/>
      <c r="O731" s="193"/>
      <c r="P731" s="32"/>
      <c r="Q731" s="6"/>
      <c r="R731" s="59"/>
      <c r="S731" s="1"/>
      <c r="T731" s="1"/>
      <c r="U731" s="1"/>
    </row>
    <row r="732" spans="1:21" ht="9.75" customHeight="1" x14ac:dyDescent="0.4">
      <c r="A732" s="1"/>
      <c r="B732" s="1"/>
      <c r="C732" s="17"/>
      <c r="D732" s="17" t="s">
        <v>374</v>
      </c>
      <c r="E732" s="17"/>
      <c r="F732" s="32"/>
      <c r="G732" s="6"/>
      <c r="H732" s="6"/>
      <c r="I732" s="6"/>
      <c r="J732" s="6"/>
      <c r="K732" s="192"/>
      <c r="L732" s="192"/>
      <c r="M732" s="192"/>
      <c r="N732" s="192"/>
      <c r="O732" s="193"/>
      <c r="P732" s="32"/>
      <c r="Q732" s="6"/>
      <c r="R732" s="59"/>
      <c r="S732" s="1"/>
      <c r="T732" s="1"/>
      <c r="U732" s="1"/>
    </row>
    <row r="733" spans="1:21" ht="9.75" customHeight="1" x14ac:dyDescent="0.4">
      <c r="A733" s="1"/>
      <c r="B733" s="1"/>
      <c r="C733" s="17"/>
      <c r="D733" s="17" t="s">
        <v>374</v>
      </c>
      <c r="E733" s="17"/>
      <c r="F733" s="32"/>
      <c r="G733" s="6"/>
      <c r="H733" s="6"/>
      <c r="I733" s="6"/>
      <c r="J733" s="6"/>
      <c r="K733" s="192"/>
      <c r="L733" s="192"/>
      <c r="M733" s="192"/>
      <c r="N733" s="192"/>
      <c r="O733" s="193"/>
      <c r="P733" s="32"/>
      <c r="Q733" s="6"/>
      <c r="R733" s="59"/>
      <c r="S733" s="1"/>
      <c r="T733" s="1"/>
      <c r="U733" s="1"/>
    </row>
    <row r="734" spans="1:21" ht="9.75" customHeight="1" x14ac:dyDescent="0.4">
      <c r="A734" s="1"/>
      <c r="B734" s="1"/>
      <c r="C734" s="17"/>
      <c r="D734" s="17" t="s">
        <v>374</v>
      </c>
      <c r="E734" s="17"/>
      <c r="F734" s="32"/>
      <c r="G734" s="6"/>
      <c r="H734" s="6"/>
      <c r="I734" s="6"/>
      <c r="J734" s="6"/>
      <c r="K734" s="192"/>
      <c r="L734" s="192"/>
      <c r="M734" s="192"/>
      <c r="N734" s="192"/>
      <c r="O734" s="193"/>
      <c r="P734" s="32"/>
      <c r="Q734" s="6"/>
      <c r="R734" s="59"/>
      <c r="S734" s="1"/>
      <c r="T734" s="1"/>
      <c r="U734" s="1"/>
    </row>
    <row r="735" spans="1:21" ht="9.75" customHeight="1" x14ac:dyDescent="0.4">
      <c r="A735" s="1"/>
      <c r="B735" s="1"/>
      <c r="C735" s="17"/>
      <c r="D735" s="17" t="s">
        <v>374</v>
      </c>
      <c r="E735" s="17"/>
      <c r="F735" s="32"/>
      <c r="G735" s="6"/>
      <c r="H735" s="6"/>
      <c r="I735" s="6"/>
      <c r="J735" s="6"/>
      <c r="K735" s="192"/>
      <c r="L735" s="192"/>
      <c r="M735" s="192"/>
      <c r="N735" s="192"/>
      <c r="O735" s="193"/>
      <c r="P735" s="32"/>
      <c r="Q735" s="6"/>
      <c r="R735" s="59"/>
      <c r="S735" s="1"/>
      <c r="T735" s="1"/>
      <c r="U735" s="1"/>
    </row>
    <row r="736" spans="1:21" ht="9.75" customHeight="1" x14ac:dyDescent="0.4">
      <c r="A736" s="1"/>
      <c r="B736" s="1"/>
      <c r="C736" s="17"/>
      <c r="D736" s="17" t="s">
        <v>310</v>
      </c>
      <c r="E736" s="17"/>
      <c r="F736" s="32"/>
      <c r="G736" s="6"/>
      <c r="H736" s="6"/>
      <c r="I736" s="6"/>
      <c r="J736" s="6"/>
      <c r="K736" s="192"/>
      <c r="L736" s="192"/>
      <c r="M736" s="192"/>
      <c r="N736" s="192"/>
      <c r="O736" s="193"/>
      <c r="P736" s="32"/>
      <c r="Q736" s="6"/>
      <c r="R736" s="59"/>
      <c r="S736" s="1"/>
      <c r="T736" s="1"/>
      <c r="U736" s="1"/>
    </row>
    <row r="737" spans="1:21" ht="9.75" customHeight="1" x14ac:dyDescent="0.4">
      <c r="A737" s="1"/>
      <c r="B737" s="1"/>
      <c r="C737" s="17"/>
      <c r="D737" s="17" t="s">
        <v>311</v>
      </c>
      <c r="E737" s="17">
        <v>6</v>
      </c>
      <c r="F737" s="32">
        <v>0</v>
      </c>
      <c r="G737" s="6">
        <v>0</v>
      </c>
      <c r="H737" s="6">
        <v>3</v>
      </c>
      <c r="I737" s="6">
        <v>3</v>
      </c>
      <c r="J737" s="6">
        <v>2</v>
      </c>
      <c r="K737" s="74">
        <v>11</v>
      </c>
      <c r="L737" s="74">
        <v>2</v>
      </c>
      <c r="M737" s="74">
        <v>1</v>
      </c>
      <c r="N737" s="74">
        <v>3</v>
      </c>
      <c r="O737" s="123">
        <v>3</v>
      </c>
      <c r="P737" s="32">
        <f>MIN(F737:O737)</f>
        <v>0</v>
      </c>
      <c r="Q737" s="6">
        <f>E737-P737</f>
        <v>6</v>
      </c>
      <c r="R737" s="59">
        <f>Q737/E737</f>
        <v>1</v>
      </c>
      <c r="S737" s="1"/>
      <c r="T737" s="1"/>
      <c r="U737" s="1"/>
    </row>
    <row r="738" spans="1:21" ht="9.75" customHeight="1" x14ac:dyDescent="0.4">
      <c r="A738" s="1"/>
      <c r="B738" s="1"/>
      <c r="C738" s="17"/>
      <c r="D738" s="17" t="s">
        <v>312</v>
      </c>
      <c r="E738" s="17"/>
      <c r="F738" s="32"/>
      <c r="G738" s="6"/>
      <c r="H738" s="6"/>
      <c r="I738" s="6"/>
      <c r="J738" s="6"/>
      <c r="K738" s="6"/>
      <c r="L738" s="6"/>
      <c r="M738" s="6"/>
      <c r="N738" s="6"/>
      <c r="O738" s="31"/>
      <c r="P738" s="32"/>
      <c r="Q738" s="6"/>
      <c r="R738" s="59"/>
      <c r="S738" s="1"/>
      <c r="T738" s="1"/>
      <c r="U738" s="1"/>
    </row>
    <row r="739" spans="1:21" ht="9.75" customHeight="1" x14ac:dyDescent="0.4">
      <c r="A739" s="1"/>
      <c r="B739" s="1"/>
      <c r="C739" s="17"/>
      <c r="D739" s="17" t="s">
        <v>313</v>
      </c>
      <c r="E739" s="17"/>
      <c r="F739" s="32"/>
      <c r="G739" s="6"/>
      <c r="H739" s="6"/>
      <c r="I739" s="6"/>
      <c r="J739" s="6"/>
      <c r="K739" s="6"/>
      <c r="L739" s="6"/>
      <c r="M739" s="6"/>
      <c r="N739" s="6"/>
      <c r="O739" s="31"/>
      <c r="P739" s="32"/>
      <c r="Q739" s="6"/>
      <c r="R739" s="59"/>
      <c r="S739" s="1"/>
      <c r="T739" s="1"/>
      <c r="U739" s="1"/>
    </row>
    <row r="740" spans="1:21" ht="9.75" customHeight="1" x14ac:dyDescent="0.4">
      <c r="A740" s="1"/>
      <c r="B740" s="1" t="s">
        <v>395</v>
      </c>
      <c r="C740" s="34"/>
      <c r="D740" s="65" t="s">
        <v>314</v>
      </c>
      <c r="E740" s="65">
        <f t="shared" ref="E740:O740" si="108">SUM(E724:E739)</f>
        <v>55</v>
      </c>
      <c r="F740" s="104">
        <f t="shared" si="108"/>
        <v>16</v>
      </c>
      <c r="G740" s="128">
        <f t="shared" si="108"/>
        <v>11</v>
      </c>
      <c r="H740" s="128">
        <f t="shared" si="108"/>
        <v>4</v>
      </c>
      <c r="I740" s="128">
        <f t="shared" si="108"/>
        <v>3</v>
      </c>
      <c r="J740" s="128">
        <f t="shared" si="108"/>
        <v>2</v>
      </c>
      <c r="K740" s="128">
        <f t="shared" si="108"/>
        <v>15</v>
      </c>
      <c r="L740" s="128">
        <f t="shared" si="108"/>
        <v>6</v>
      </c>
      <c r="M740" s="128">
        <f t="shared" si="108"/>
        <v>8</v>
      </c>
      <c r="N740" s="128">
        <f t="shared" si="108"/>
        <v>10</v>
      </c>
      <c r="O740" s="129">
        <f t="shared" si="108"/>
        <v>16</v>
      </c>
      <c r="P740" s="104">
        <f>MIN(F740:O740)</f>
        <v>2</v>
      </c>
      <c r="Q740" s="128">
        <f>E740-P740</f>
        <v>53</v>
      </c>
      <c r="R740" s="72">
        <f>Q740/E740</f>
        <v>0.96363636363636362</v>
      </c>
      <c r="S740" s="1"/>
      <c r="T740" s="1"/>
      <c r="U740" s="1"/>
    </row>
    <row r="741" spans="1:21" ht="9.75" customHeight="1" x14ac:dyDescent="0.4">
      <c r="A741" s="1"/>
      <c r="B741" s="1"/>
      <c r="C741" s="15" t="s">
        <v>204</v>
      </c>
      <c r="D741" s="15" t="s">
        <v>300</v>
      </c>
      <c r="E741" s="15"/>
      <c r="F741" s="73"/>
      <c r="G741" s="108"/>
      <c r="H741" s="108"/>
      <c r="I741" s="108"/>
      <c r="J741" s="108"/>
      <c r="K741" s="108"/>
      <c r="L741" s="108"/>
      <c r="M741" s="108"/>
      <c r="N741" s="108"/>
      <c r="O741" s="109"/>
      <c r="P741" s="73"/>
      <c r="Q741" s="108"/>
      <c r="R741" s="188"/>
      <c r="S741" s="1"/>
      <c r="T741" s="1"/>
      <c r="U741" s="1"/>
    </row>
    <row r="742" spans="1:21" ht="9.75" customHeight="1" x14ac:dyDescent="0.4">
      <c r="A742" s="1"/>
      <c r="B742" s="1"/>
      <c r="C742" s="17"/>
      <c r="D742" s="17" t="s">
        <v>301</v>
      </c>
      <c r="E742" s="17"/>
      <c r="F742" s="32"/>
      <c r="G742" s="6"/>
      <c r="H742" s="6"/>
      <c r="I742" s="6"/>
      <c r="J742" s="6"/>
      <c r="K742" s="6"/>
      <c r="L742" s="6"/>
      <c r="M742" s="6"/>
      <c r="N742" s="6"/>
      <c r="O742" s="31"/>
      <c r="P742" s="32"/>
      <c r="Q742" s="6"/>
      <c r="R742" s="59"/>
      <c r="S742" s="1"/>
      <c r="T742" s="1"/>
      <c r="U742" s="1"/>
    </row>
    <row r="743" spans="1:21" ht="9.75" customHeight="1" x14ac:dyDescent="0.4">
      <c r="A743" s="1"/>
      <c r="B743" s="1"/>
      <c r="C743" s="17"/>
      <c r="D743" s="17" t="s">
        <v>303</v>
      </c>
      <c r="E743" s="17">
        <v>126</v>
      </c>
      <c r="F743" s="32">
        <v>1</v>
      </c>
      <c r="G743" s="6">
        <v>0</v>
      </c>
      <c r="H743" s="6">
        <v>0</v>
      </c>
      <c r="I743" s="6">
        <v>0</v>
      </c>
      <c r="J743" s="6">
        <v>0</v>
      </c>
      <c r="K743" s="74">
        <v>0</v>
      </c>
      <c r="L743" s="74">
        <v>0</v>
      </c>
      <c r="M743" s="74">
        <v>3</v>
      </c>
      <c r="N743" s="74">
        <v>0</v>
      </c>
      <c r="O743" s="123">
        <v>0</v>
      </c>
      <c r="P743" s="32">
        <f>MIN(F743:O743)</f>
        <v>0</v>
      </c>
      <c r="Q743" s="6">
        <f>E743-P743</f>
        <v>126</v>
      </c>
      <c r="R743" s="59">
        <f>Q743/E743</f>
        <v>1</v>
      </c>
      <c r="S743" s="1"/>
      <c r="T743" s="1"/>
      <c r="U743" s="1"/>
    </row>
    <row r="744" spans="1:21" ht="9.75" customHeight="1" x14ac:dyDescent="0.4">
      <c r="A744" s="1"/>
      <c r="B744" s="1"/>
      <c r="C744" s="17"/>
      <c r="D744" s="17" t="s">
        <v>369</v>
      </c>
      <c r="E744" s="17"/>
      <c r="F744" s="32"/>
      <c r="G744" s="6"/>
      <c r="H744" s="6"/>
      <c r="I744" s="6"/>
      <c r="J744" s="6"/>
      <c r="K744" s="6"/>
      <c r="L744" s="6"/>
      <c r="M744" s="6"/>
      <c r="N744" s="6"/>
      <c r="O744" s="31"/>
      <c r="P744" s="32"/>
      <c r="Q744" s="6"/>
      <c r="R744" s="59"/>
      <c r="S744" s="1"/>
      <c r="T744" s="1"/>
      <c r="U744" s="1"/>
    </row>
    <row r="745" spans="1:21" ht="9.75" customHeight="1" x14ac:dyDescent="0.4">
      <c r="A745" s="1"/>
      <c r="B745" s="1"/>
      <c r="C745" s="17"/>
      <c r="D745" s="17" t="s">
        <v>369</v>
      </c>
      <c r="E745" s="17"/>
      <c r="F745" s="32"/>
      <c r="G745" s="6"/>
      <c r="H745" s="6"/>
      <c r="I745" s="6"/>
      <c r="J745" s="6"/>
      <c r="K745" s="6"/>
      <c r="L745" s="6"/>
      <c r="M745" s="6"/>
      <c r="N745" s="6"/>
      <c r="O745" s="31"/>
      <c r="P745" s="32"/>
      <c r="Q745" s="6"/>
      <c r="R745" s="59"/>
      <c r="S745" s="1"/>
      <c r="T745" s="1"/>
      <c r="U745" s="1"/>
    </row>
    <row r="746" spans="1:21" ht="9.75" customHeight="1" x14ac:dyDescent="0.4">
      <c r="A746" s="1"/>
      <c r="B746" s="1"/>
      <c r="C746" s="17"/>
      <c r="D746" s="17" t="s">
        <v>308</v>
      </c>
      <c r="E746" s="17"/>
      <c r="F746" s="32"/>
      <c r="G746" s="6"/>
      <c r="H746" s="6"/>
      <c r="I746" s="6"/>
      <c r="J746" s="6"/>
      <c r="K746" s="6"/>
      <c r="L746" s="6"/>
      <c r="M746" s="6"/>
      <c r="N746" s="6"/>
      <c r="O746" s="31"/>
      <c r="P746" s="32"/>
      <c r="Q746" s="6"/>
      <c r="R746" s="59"/>
      <c r="S746" s="1"/>
      <c r="T746" s="1"/>
      <c r="U746" s="1"/>
    </row>
    <row r="747" spans="1:21" ht="9.75" customHeight="1" x14ac:dyDescent="0.4">
      <c r="A747" s="1"/>
      <c r="B747" s="1"/>
      <c r="C747" s="17"/>
      <c r="D747" s="17" t="s">
        <v>374</v>
      </c>
      <c r="E747" s="17"/>
      <c r="F747" s="32"/>
      <c r="G747" s="6"/>
      <c r="H747" s="6"/>
      <c r="I747" s="6"/>
      <c r="J747" s="6"/>
      <c r="K747" s="6"/>
      <c r="L747" s="6"/>
      <c r="M747" s="6"/>
      <c r="N747" s="6"/>
      <c r="O747" s="31"/>
      <c r="P747" s="32"/>
      <c r="Q747" s="6"/>
      <c r="R747" s="59"/>
      <c r="S747" s="1"/>
      <c r="T747" s="1"/>
      <c r="U747" s="1"/>
    </row>
    <row r="748" spans="1:21" ht="9.75" customHeight="1" x14ac:dyDescent="0.4">
      <c r="A748" s="1"/>
      <c r="B748" s="1"/>
      <c r="C748" s="17"/>
      <c r="D748" s="17" t="s">
        <v>374</v>
      </c>
      <c r="E748" s="17"/>
      <c r="F748" s="32"/>
      <c r="G748" s="6"/>
      <c r="H748" s="6"/>
      <c r="I748" s="6"/>
      <c r="J748" s="6"/>
      <c r="K748" s="6"/>
      <c r="L748" s="6"/>
      <c r="M748" s="6"/>
      <c r="N748" s="6"/>
      <c r="O748" s="31"/>
      <c r="P748" s="32"/>
      <c r="Q748" s="6"/>
      <c r="R748" s="59"/>
      <c r="S748" s="1"/>
      <c r="T748" s="1"/>
      <c r="U748" s="1"/>
    </row>
    <row r="749" spans="1:21" ht="9.75" customHeight="1" x14ac:dyDescent="0.4">
      <c r="A749" s="1"/>
      <c r="B749" s="1"/>
      <c r="C749" s="17"/>
      <c r="D749" s="17" t="s">
        <v>374</v>
      </c>
      <c r="E749" s="17"/>
      <c r="F749" s="32"/>
      <c r="G749" s="6"/>
      <c r="H749" s="6"/>
      <c r="I749" s="6"/>
      <c r="J749" s="6"/>
      <c r="K749" s="6"/>
      <c r="L749" s="6"/>
      <c r="M749" s="6"/>
      <c r="N749" s="6"/>
      <c r="O749" s="31"/>
      <c r="P749" s="32"/>
      <c r="Q749" s="6"/>
      <c r="R749" s="59"/>
      <c r="S749" s="1"/>
      <c r="T749" s="1"/>
      <c r="U749" s="1"/>
    </row>
    <row r="750" spans="1:21" ht="9.75" customHeight="1" x14ac:dyDescent="0.4">
      <c r="A750" s="1"/>
      <c r="B750" s="1"/>
      <c r="C750" s="17"/>
      <c r="D750" s="17" t="s">
        <v>374</v>
      </c>
      <c r="E750" s="17"/>
      <c r="F750" s="32"/>
      <c r="G750" s="6"/>
      <c r="H750" s="6"/>
      <c r="I750" s="6"/>
      <c r="J750" s="6"/>
      <c r="K750" s="6"/>
      <c r="L750" s="6"/>
      <c r="M750" s="6"/>
      <c r="N750" s="6"/>
      <c r="O750" s="31"/>
      <c r="P750" s="32"/>
      <c r="Q750" s="6"/>
      <c r="R750" s="59"/>
      <c r="S750" s="1"/>
      <c r="T750" s="1"/>
      <c r="U750" s="1"/>
    </row>
    <row r="751" spans="1:21" ht="9.75" customHeight="1" x14ac:dyDescent="0.4">
      <c r="A751" s="1"/>
      <c r="B751" s="1"/>
      <c r="C751" s="17"/>
      <c r="D751" s="17" t="s">
        <v>374</v>
      </c>
      <c r="E751" s="17"/>
      <c r="F751" s="32"/>
      <c r="G751" s="6"/>
      <c r="H751" s="6"/>
      <c r="I751" s="6"/>
      <c r="J751" s="6"/>
      <c r="K751" s="6"/>
      <c r="L751" s="6"/>
      <c r="M751" s="6"/>
      <c r="N751" s="6"/>
      <c r="O751" s="31"/>
      <c r="P751" s="32"/>
      <c r="Q751" s="6"/>
      <c r="R751" s="59"/>
      <c r="S751" s="1"/>
      <c r="T751" s="1"/>
      <c r="U751" s="1"/>
    </row>
    <row r="752" spans="1:21" ht="9.75" customHeight="1" x14ac:dyDescent="0.4">
      <c r="A752" s="1"/>
      <c r="B752" s="1"/>
      <c r="C752" s="17"/>
      <c r="D752" s="17" t="s">
        <v>374</v>
      </c>
      <c r="E752" s="17"/>
      <c r="F752" s="32"/>
      <c r="G752" s="6"/>
      <c r="H752" s="6"/>
      <c r="I752" s="6"/>
      <c r="J752" s="6"/>
      <c r="K752" s="6"/>
      <c r="L752" s="6"/>
      <c r="M752" s="6"/>
      <c r="N752" s="6"/>
      <c r="O752" s="31"/>
      <c r="P752" s="32"/>
      <c r="Q752" s="6"/>
      <c r="R752" s="59"/>
      <c r="S752" s="1"/>
      <c r="T752" s="1"/>
      <c r="U752" s="1"/>
    </row>
    <row r="753" spans="1:21" ht="9.75" customHeight="1" x14ac:dyDescent="0.4">
      <c r="A753" s="1"/>
      <c r="B753" s="1"/>
      <c r="C753" s="17"/>
      <c r="D753" s="17" t="s">
        <v>310</v>
      </c>
      <c r="E753" s="17"/>
      <c r="F753" s="32"/>
      <c r="G753" s="6"/>
      <c r="H753" s="6"/>
      <c r="I753" s="6"/>
      <c r="J753" s="6"/>
      <c r="K753" s="6"/>
      <c r="L753" s="6"/>
      <c r="M753" s="6"/>
      <c r="N753" s="6"/>
      <c r="O753" s="31"/>
      <c r="P753" s="32"/>
      <c r="Q753" s="6"/>
      <c r="R753" s="59"/>
      <c r="S753" s="1"/>
      <c r="T753" s="1"/>
      <c r="U753" s="1"/>
    </row>
    <row r="754" spans="1:21" ht="9.75" customHeight="1" x14ac:dyDescent="0.4">
      <c r="A754" s="1"/>
      <c r="B754" s="1"/>
      <c r="C754" s="17"/>
      <c r="D754" s="17" t="s">
        <v>311</v>
      </c>
      <c r="E754" s="17"/>
      <c r="F754" s="32"/>
      <c r="G754" s="6"/>
      <c r="H754" s="6"/>
      <c r="I754" s="6"/>
      <c r="J754" s="6"/>
      <c r="K754" s="6"/>
      <c r="L754" s="6"/>
      <c r="M754" s="6"/>
      <c r="N754" s="6"/>
      <c r="O754" s="31"/>
      <c r="P754" s="32"/>
      <c r="Q754" s="6"/>
      <c r="R754" s="59"/>
      <c r="S754" s="1"/>
      <c r="T754" s="1"/>
      <c r="U754" s="1"/>
    </row>
    <row r="755" spans="1:21" ht="9.75" customHeight="1" x14ac:dyDescent="0.4">
      <c r="A755" s="1"/>
      <c r="B755" s="1"/>
      <c r="C755" s="17"/>
      <c r="D755" s="17" t="s">
        <v>312</v>
      </c>
      <c r="E755" s="17"/>
      <c r="F755" s="32"/>
      <c r="G755" s="6"/>
      <c r="H755" s="6"/>
      <c r="I755" s="6"/>
      <c r="J755" s="6"/>
      <c r="K755" s="6"/>
      <c r="L755" s="6"/>
      <c r="M755" s="6"/>
      <c r="N755" s="6"/>
      <c r="O755" s="31"/>
      <c r="P755" s="32"/>
      <c r="Q755" s="6"/>
      <c r="R755" s="59"/>
      <c r="S755" s="1"/>
      <c r="T755" s="1"/>
      <c r="U755" s="1"/>
    </row>
    <row r="756" spans="1:21" ht="9.75" customHeight="1" x14ac:dyDescent="0.4">
      <c r="A756" s="1"/>
      <c r="B756" s="1"/>
      <c r="C756" s="17"/>
      <c r="D756" s="17" t="s">
        <v>313</v>
      </c>
      <c r="E756" s="17"/>
      <c r="F756" s="32"/>
      <c r="G756" s="6"/>
      <c r="H756" s="6"/>
      <c r="I756" s="6"/>
      <c r="J756" s="6"/>
      <c r="K756" s="6"/>
      <c r="L756" s="6"/>
      <c r="M756" s="6"/>
      <c r="N756" s="6"/>
      <c r="O756" s="31"/>
      <c r="P756" s="32"/>
      <c r="Q756" s="6"/>
      <c r="R756" s="59"/>
      <c r="S756" s="1"/>
      <c r="T756" s="1"/>
      <c r="U756" s="1"/>
    </row>
    <row r="757" spans="1:21" ht="9.75" customHeight="1" x14ac:dyDescent="0.4">
      <c r="A757" s="1"/>
      <c r="B757" s="1" t="s">
        <v>395</v>
      </c>
      <c r="C757" s="34"/>
      <c r="D757" s="65" t="s">
        <v>314</v>
      </c>
      <c r="E757" s="65">
        <f t="shared" ref="E757:O757" si="109">SUM(E741:E756)</f>
        <v>126</v>
      </c>
      <c r="F757" s="104">
        <f t="shared" si="109"/>
        <v>1</v>
      </c>
      <c r="G757" s="128">
        <f t="shared" si="109"/>
        <v>0</v>
      </c>
      <c r="H757" s="128">
        <f t="shared" si="109"/>
        <v>0</v>
      </c>
      <c r="I757" s="128">
        <f t="shared" si="109"/>
        <v>0</v>
      </c>
      <c r="J757" s="128">
        <f t="shared" si="109"/>
        <v>0</v>
      </c>
      <c r="K757" s="128">
        <f t="shared" si="109"/>
        <v>0</v>
      </c>
      <c r="L757" s="128">
        <f t="shared" si="109"/>
        <v>0</v>
      </c>
      <c r="M757" s="128">
        <f t="shared" si="109"/>
        <v>3</v>
      </c>
      <c r="N757" s="128">
        <f t="shared" si="109"/>
        <v>0</v>
      </c>
      <c r="O757" s="129">
        <f t="shared" si="109"/>
        <v>0</v>
      </c>
      <c r="P757" s="104">
        <f>MIN(F757:O757)</f>
        <v>0</v>
      </c>
      <c r="Q757" s="128">
        <f>E757-P757</f>
        <v>126</v>
      </c>
      <c r="R757" s="72">
        <f>Q757/E757</f>
        <v>1</v>
      </c>
      <c r="S757" s="1"/>
      <c r="T757" s="1"/>
      <c r="U757" s="1"/>
    </row>
    <row r="758" spans="1:21" ht="9.75" customHeight="1" x14ac:dyDescent="0.4">
      <c r="A758" s="1"/>
      <c r="B758" s="1"/>
      <c r="C758" s="15" t="s">
        <v>210</v>
      </c>
      <c r="D758" s="15" t="s">
        <v>300</v>
      </c>
      <c r="E758" s="15"/>
      <c r="F758" s="73"/>
      <c r="G758" s="108"/>
      <c r="H758" s="108"/>
      <c r="I758" s="108"/>
      <c r="J758" s="108"/>
      <c r="K758" s="108"/>
      <c r="L758" s="108"/>
      <c r="M758" s="108"/>
      <c r="N758" s="108"/>
      <c r="O758" s="109"/>
      <c r="P758" s="73"/>
      <c r="Q758" s="108"/>
      <c r="R758" s="188"/>
      <c r="S758" s="1"/>
      <c r="T758" s="1"/>
      <c r="U758" s="1"/>
    </row>
    <row r="759" spans="1:21" ht="9.75" customHeight="1" x14ac:dyDescent="0.4">
      <c r="A759" s="1"/>
      <c r="B759" s="1"/>
      <c r="C759" s="17"/>
      <c r="D759" s="17" t="s">
        <v>301</v>
      </c>
      <c r="E759" s="17"/>
      <c r="F759" s="32"/>
      <c r="G759" s="6"/>
      <c r="H759" s="6"/>
      <c r="I759" s="6"/>
      <c r="J759" s="6"/>
      <c r="K759" s="6"/>
      <c r="L759" s="6"/>
      <c r="M759" s="6"/>
      <c r="N759" s="6"/>
      <c r="O759" s="31"/>
      <c r="P759" s="32"/>
      <c r="Q759" s="6"/>
      <c r="R759" s="59"/>
      <c r="S759" s="1"/>
      <c r="T759" s="1"/>
      <c r="U759" s="1"/>
    </row>
    <row r="760" spans="1:21" ht="9.75" customHeight="1" x14ac:dyDescent="0.4">
      <c r="A760" s="1"/>
      <c r="B760" s="1"/>
      <c r="C760" s="17"/>
      <c r="D760" s="17" t="s">
        <v>303</v>
      </c>
      <c r="E760" s="17">
        <v>184</v>
      </c>
      <c r="F760" s="32">
        <v>1</v>
      </c>
      <c r="G760" s="6">
        <v>0</v>
      </c>
      <c r="H760" s="6">
        <v>0</v>
      </c>
      <c r="I760" s="6">
        <v>0</v>
      </c>
      <c r="J760" s="6">
        <v>0</v>
      </c>
      <c r="K760" s="74">
        <v>0</v>
      </c>
      <c r="L760" s="74">
        <v>0</v>
      </c>
      <c r="M760" s="74">
        <v>1</v>
      </c>
      <c r="N760" s="74">
        <v>0</v>
      </c>
      <c r="O760" s="123">
        <v>3</v>
      </c>
      <c r="P760" s="32">
        <f>MIN(F760:O760)</f>
        <v>0</v>
      </c>
      <c r="Q760" s="6">
        <f>E760-P760</f>
        <v>184</v>
      </c>
      <c r="R760" s="59">
        <f>Q760/E760</f>
        <v>1</v>
      </c>
      <c r="S760" s="1"/>
      <c r="T760" s="1"/>
      <c r="U760" s="1"/>
    </row>
    <row r="761" spans="1:21" ht="9.75" customHeight="1" x14ac:dyDescent="0.4">
      <c r="A761" s="1"/>
      <c r="B761" s="1"/>
      <c r="C761" s="17"/>
      <c r="D761" s="17" t="s">
        <v>369</v>
      </c>
      <c r="E761" s="17"/>
      <c r="F761" s="32"/>
      <c r="G761" s="6"/>
      <c r="H761" s="6"/>
      <c r="I761" s="6"/>
      <c r="J761" s="6"/>
      <c r="K761" s="192"/>
      <c r="L761" s="192"/>
      <c r="M761" s="192"/>
      <c r="N761" s="192"/>
      <c r="O761" s="193"/>
      <c r="P761" s="32"/>
      <c r="Q761" s="6"/>
      <c r="R761" s="59"/>
      <c r="S761" s="1"/>
      <c r="T761" s="1"/>
      <c r="U761" s="1"/>
    </row>
    <row r="762" spans="1:21" ht="9.75" customHeight="1" x14ac:dyDescent="0.4">
      <c r="A762" s="1"/>
      <c r="B762" s="1"/>
      <c r="C762" s="17"/>
      <c r="D762" s="17" t="s">
        <v>369</v>
      </c>
      <c r="E762" s="17"/>
      <c r="F762" s="32"/>
      <c r="G762" s="6"/>
      <c r="H762" s="6"/>
      <c r="I762" s="6"/>
      <c r="J762" s="6"/>
      <c r="K762" s="192"/>
      <c r="L762" s="192"/>
      <c r="M762" s="192"/>
      <c r="N762" s="192"/>
      <c r="O762" s="193"/>
      <c r="P762" s="32"/>
      <c r="Q762" s="6"/>
      <c r="R762" s="59"/>
      <c r="S762" s="1"/>
      <c r="T762" s="1"/>
      <c r="U762" s="1"/>
    </row>
    <row r="763" spans="1:21" ht="9.75" customHeight="1" x14ac:dyDescent="0.4">
      <c r="A763" s="1"/>
      <c r="B763" s="1"/>
      <c r="C763" s="17"/>
      <c r="D763" s="17" t="s">
        <v>308</v>
      </c>
      <c r="E763" s="17"/>
      <c r="F763" s="32"/>
      <c r="G763" s="6"/>
      <c r="H763" s="6"/>
      <c r="I763" s="6"/>
      <c r="J763" s="6"/>
      <c r="K763" s="192"/>
      <c r="L763" s="192"/>
      <c r="M763" s="192"/>
      <c r="N763" s="192"/>
      <c r="O763" s="193"/>
      <c r="P763" s="32"/>
      <c r="Q763" s="6"/>
      <c r="R763" s="59"/>
      <c r="S763" s="1"/>
      <c r="T763" s="1"/>
      <c r="U763" s="1"/>
    </row>
    <row r="764" spans="1:21" ht="9.75" customHeight="1" x14ac:dyDescent="0.4">
      <c r="A764" s="1"/>
      <c r="B764" s="1"/>
      <c r="C764" s="17"/>
      <c r="D764" s="17" t="s">
        <v>374</v>
      </c>
      <c r="E764" s="17"/>
      <c r="F764" s="32"/>
      <c r="G764" s="6"/>
      <c r="H764" s="6"/>
      <c r="I764" s="6"/>
      <c r="J764" s="6"/>
      <c r="K764" s="192"/>
      <c r="L764" s="192"/>
      <c r="M764" s="192"/>
      <c r="N764" s="192"/>
      <c r="O764" s="193"/>
      <c r="P764" s="32"/>
      <c r="Q764" s="6"/>
      <c r="R764" s="59"/>
      <c r="S764" s="1"/>
      <c r="T764" s="1"/>
      <c r="U764" s="1"/>
    </row>
    <row r="765" spans="1:21" ht="9.75" customHeight="1" x14ac:dyDescent="0.4">
      <c r="A765" s="1"/>
      <c r="B765" s="1"/>
      <c r="C765" s="17"/>
      <c r="D765" s="17" t="s">
        <v>374</v>
      </c>
      <c r="E765" s="17"/>
      <c r="F765" s="32"/>
      <c r="G765" s="6"/>
      <c r="H765" s="6"/>
      <c r="I765" s="6"/>
      <c r="J765" s="6"/>
      <c r="K765" s="192"/>
      <c r="L765" s="192"/>
      <c r="M765" s="192"/>
      <c r="N765" s="192"/>
      <c r="O765" s="193"/>
      <c r="P765" s="32"/>
      <c r="Q765" s="6"/>
      <c r="R765" s="59"/>
      <c r="S765" s="1"/>
      <c r="T765" s="1"/>
      <c r="U765" s="1"/>
    </row>
    <row r="766" spans="1:21" ht="9.75" customHeight="1" x14ac:dyDescent="0.4">
      <c r="A766" s="1"/>
      <c r="B766" s="1"/>
      <c r="C766" s="17"/>
      <c r="D766" s="17" t="s">
        <v>374</v>
      </c>
      <c r="E766" s="17"/>
      <c r="F766" s="32"/>
      <c r="G766" s="6"/>
      <c r="H766" s="6"/>
      <c r="I766" s="6"/>
      <c r="J766" s="6"/>
      <c r="K766" s="192"/>
      <c r="L766" s="192"/>
      <c r="M766" s="192"/>
      <c r="N766" s="192"/>
      <c r="O766" s="193"/>
      <c r="P766" s="32"/>
      <c r="Q766" s="6"/>
      <c r="R766" s="59"/>
      <c r="S766" s="1"/>
      <c r="T766" s="1"/>
      <c r="U766" s="1"/>
    </row>
    <row r="767" spans="1:21" ht="9.75" customHeight="1" x14ac:dyDescent="0.4">
      <c r="A767" s="1"/>
      <c r="B767" s="1"/>
      <c r="C767" s="17"/>
      <c r="D767" s="17" t="s">
        <v>374</v>
      </c>
      <c r="E767" s="17"/>
      <c r="F767" s="32"/>
      <c r="G767" s="6"/>
      <c r="H767" s="6"/>
      <c r="I767" s="6"/>
      <c r="J767" s="6"/>
      <c r="K767" s="192"/>
      <c r="L767" s="192"/>
      <c r="M767" s="192"/>
      <c r="N767" s="192"/>
      <c r="O767" s="193"/>
      <c r="P767" s="32"/>
      <c r="Q767" s="6"/>
      <c r="R767" s="59"/>
      <c r="S767" s="1"/>
      <c r="T767" s="1"/>
      <c r="U767" s="1"/>
    </row>
    <row r="768" spans="1:21" ht="9.75" customHeight="1" x14ac:dyDescent="0.4">
      <c r="A768" s="1"/>
      <c r="B768" s="1"/>
      <c r="C768" s="17"/>
      <c r="D768" s="17" t="s">
        <v>374</v>
      </c>
      <c r="E768" s="17"/>
      <c r="F768" s="32"/>
      <c r="G768" s="6"/>
      <c r="H768" s="6"/>
      <c r="I768" s="6"/>
      <c r="J768" s="6"/>
      <c r="K768" s="192"/>
      <c r="L768" s="192"/>
      <c r="M768" s="192"/>
      <c r="N768" s="192"/>
      <c r="O768" s="193"/>
      <c r="P768" s="32"/>
      <c r="Q768" s="6"/>
      <c r="R768" s="59"/>
      <c r="S768" s="1"/>
      <c r="T768" s="1"/>
      <c r="U768" s="1"/>
    </row>
    <row r="769" spans="1:21" ht="9.75" customHeight="1" x14ac:dyDescent="0.4">
      <c r="A769" s="1"/>
      <c r="B769" s="1"/>
      <c r="C769" s="17"/>
      <c r="D769" s="17" t="s">
        <v>374</v>
      </c>
      <c r="E769" s="17"/>
      <c r="F769" s="32"/>
      <c r="G769" s="6"/>
      <c r="H769" s="6"/>
      <c r="I769" s="6"/>
      <c r="J769" s="6"/>
      <c r="K769" s="192"/>
      <c r="L769" s="192"/>
      <c r="M769" s="192"/>
      <c r="N769" s="192"/>
      <c r="O769" s="193"/>
      <c r="P769" s="32"/>
      <c r="Q769" s="6"/>
      <c r="R769" s="59"/>
      <c r="S769" s="1"/>
      <c r="T769" s="1"/>
      <c r="U769" s="1"/>
    </row>
    <row r="770" spans="1:21" ht="9.75" customHeight="1" x14ac:dyDescent="0.4">
      <c r="A770" s="1"/>
      <c r="B770" s="1"/>
      <c r="C770" s="17"/>
      <c r="D770" s="17" t="s">
        <v>310</v>
      </c>
      <c r="E770" s="17"/>
      <c r="F770" s="32"/>
      <c r="G770" s="6"/>
      <c r="H770" s="6"/>
      <c r="I770" s="6"/>
      <c r="J770" s="6"/>
      <c r="K770" s="192"/>
      <c r="L770" s="192"/>
      <c r="M770" s="192"/>
      <c r="N770" s="192"/>
      <c r="O770" s="193"/>
      <c r="P770" s="32"/>
      <c r="Q770" s="6"/>
      <c r="R770" s="59"/>
      <c r="S770" s="1"/>
      <c r="T770" s="1"/>
      <c r="U770" s="1"/>
    </row>
    <row r="771" spans="1:21" ht="9.75" customHeight="1" x14ac:dyDescent="0.4">
      <c r="A771" s="1"/>
      <c r="B771" s="1"/>
      <c r="C771" s="17"/>
      <c r="D771" s="17" t="s">
        <v>311</v>
      </c>
      <c r="E771" s="17">
        <v>1</v>
      </c>
      <c r="F771" s="32">
        <v>1</v>
      </c>
      <c r="G771" s="6">
        <v>0</v>
      </c>
      <c r="H771" s="6">
        <v>0</v>
      </c>
      <c r="I771" s="6">
        <v>0</v>
      </c>
      <c r="J771" s="6">
        <v>0</v>
      </c>
      <c r="K771" s="74">
        <v>0</v>
      </c>
      <c r="L771" s="74">
        <v>0</v>
      </c>
      <c r="M771" s="74">
        <v>0</v>
      </c>
      <c r="N771" s="74">
        <v>0</v>
      </c>
      <c r="O771" s="123">
        <v>0</v>
      </c>
      <c r="P771" s="32">
        <f>MIN(F771:O771)</f>
        <v>0</v>
      </c>
      <c r="Q771" s="6">
        <f>E771-P771</f>
        <v>1</v>
      </c>
      <c r="R771" s="59">
        <f>Q771/E771</f>
        <v>1</v>
      </c>
      <c r="S771" s="1"/>
      <c r="T771" s="1"/>
      <c r="U771" s="1"/>
    </row>
    <row r="772" spans="1:21" ht="9.75" customHeight="1" x14ac:dyDescent="0.4">
      <c r="A772" s="1"/>
      <c r="B772" s="1"/>
      <c r="C772" s="17"/>
      <c r="D772" s="17" t="s">
        <v>312</v>
      </c>
      <c r="E772" s="17"/>
      <c r="F772" s="32"/>
      <c r="G772" s="6"/>
      <c r="H772" s="6"/>
      <c r="I772" s="6"/>
      <c r="J772" s="6"/>
      <c r="K772" s="6"/>
      <c r="L772" s="6"/>
      <c r="M772" s="6"/>
      <c r="N772" s="6"/>
      <c r="O772" s="31"/>
      <c r="P772" s="32"/>
      <c r="Q772" s="6"/>
      <c r="R772" s="59"/>
      <c r="S772" s="1"/>
      <c r="T772" s="1"/>
      <c r="U772" s="1"/>
    </row>
    <row r="773" spans="1:21" ht="9.75" customHeight="1" x14ac:dyDescent="0.4">
      <c r="A773" s="1"/>
      <c r="B773" s="1"/>
      <c r="C773" s="17"/>
      <c r="D773" s="17" t="s">
        <v>313</v>
      </c>
      <c r="E773" s="17"/>
      <c r="F773" s="32"/>
      <c r="G773" s="6"/>
      <c r="H773" s="6"/>
      <c r="I773" s="6"/>
      <c r="J773" s="6"/>
      <c r="K773" s="6"/>
      <c r="L773" s="6"/>
      <c r="M773" s="6"/>
      <c r="N773" s="6"/>
      <c r="O773" s="31"/>
      <c r="P773" s="32"/>
      <c r="Q773" s="6"/>
      <c r="R773" s="59"/>
      <c r="S773" s="1"/>
      <c r="T773" s="1"/>
      <c r="U773" s="1"/>
    </row>
    <row r="774" spans="1:21" ht="9.75" customHeight="1" x14ac:dyDescent="0.4">
      <c r="A774" s="1"/>
      <c r="B774" s="1" t="s">
        <v>395</v>
      </c>
      <c r="C774" s="34"/>
      <c r="D774" s="65" t="s">
        <v>314</v>
      </c>
      <c r="E774" s="65">
        <f t="shared" ref="E774:O774" si="110">SUM(E758:E773)</f>
        <v>185</v>
      </c>
      <c r="F774" s="104">
        <f t="shared" si="110"/>
        <v>2</v>
      </c>
      <c r="G774" s="128">
        <f t="shared" si="110"/>
        <v>0</v>
      </c>
      <c r="H774" s="128">
        <f t="shared" si="110"/>
        <v>0</v>
      </c>
      <c r="I774" s="128">
        <f t="shared" si="110"/>
        <v>0</v>
      </c>
      <c r="J774" s="128">
        <f t="shared" si="110"/>
        <v>0</v>
      </c>
      <c r="K774" s="128">
        <f t="shared" si="110"/>
        <v>0</v>
      </c>
      <c r="L774" s="128">
        <f t="shared" si="110"/>
        <v>0</v>
      </c>
      <c r="M774" s="128">
        <f t="shared" si="110"/>
        <v>1</v>
      </c>
      <c r="N774" s="128">
        <f t="shared" si="110"/>
        <v>0</v>
      </c>
      <c r="O774" s="129">
        <f t="shared" si="110"/>
        <v>3</v>
      </c>
      <c r="P774" s="104">
        <f>MIN(F774:O774)</f>
        <v>0</v>
      </c>
      <c r="Q774" s="128">
        <f>E774-P774</f>
        <v>185</v>
      </c>
      <c r="R774" s="72">
        <f>Q774/E774</f>
        <v>1</v>
      </c>
      <c r="S774" s="1"/>
      <c r="T774" s="1"/>
      <c r="U774" s="1"/>
    </row>
    <row r="775" spans="1:21" ht="9.75" customHeight="1" x14ac:dyDescent="0.4">
      <c r="A775" s="1"/>
      <c r="B775" s="1"/>
      <c r="C775" s="15" t="s">
        <v>215</v>
      </c>
      <c r="D775" s="191" t="s">
        <v>300</v>
      </c>
      <c r="E775" s="15"/>
      <c r="F775" s="73"/>
      <c r="G775" s="108"/>
      <c r="H775" s="108"/>
      <c r="I775" s="108"/>
      <c r="J775" s="108"/>
      <c r="K775" s="108"/>
      <c r="L775" s="108"/>
      <c r="M775" s="108"/>
      <c r="N775" s="108"/>
      <c r="O775" s="109"/>
      <c r="P775" s="73"/>
      <c r="Q775" s="108"/>
      <c r="R775" s="188"/>
      <c r="S775" s="1"/>
      <c r="T775" s="1"/>
      <c r="U775" s="1"/>
    </row>
    <row r="776" spans="1:21" ht="9.75" customHeight="1" x14ac:dyDescent="0.4">
      <c r="A776" s="1"/>
      <c r="B776" s="1"/>
      <c r="C776" s="17"/>
      <c r="D776" s="17" t="s">
        <v>301</v>
      </c>
      <c r="E776" s="17">
        <v>89</v>
      </c>
      <c r="F776" s="32">
        <f>E776-23</f>
        <v>66</v>
      </c>
      <c r="G776" s="6">
        <v>37</v>
      </c>
      <c r="H776" s="6">
        <v>11</v>
      </c>
      <c r="I776" s="6">
        <v>0</v>
      </c>
      <c r="J776" s="6">
        <v>0</v>
      </c>
      <c r="K776" s="6">
        <v>0</v>
      </c>
      <c r="L776" s="6">
        <v>5</v>
      </c>
      <c r="M776" s="6">
        <v>7</v>
      </c>
      <c r="N776" s="6">
        <v>18</v>
      </c>
      <c r="O776" s="31">
        <f>E776-37</f>
        <v>52</v>
      </c>
      <c r="P776" s="32">
        <f t="shared" ref="P776:P777" si="111">MIN(F776:O776)</f>
        <v>0</v>
      </c>
      <c r="Q776" s="6">
        <f t="shared" ref="Q776:Q777" si="112">E776-P776</f>
        <v>89</v>
      </c>
      <c r="R776" s="59">
        <f t="shared" ref="R776:R777" si="113">Q776/E776</f>
        <v>1</v>
      </c>
      <c r="S776" s="1"/>
      <c r="T776" s="1"/>
      <c r="U776" s="1"/>
    </row>
    <row r="777" spans="1:21" ht="9.75" customHeight="1" x14ac:dyDescent="0.4">
      <c r="A777" s="1"/>
      <c r="B777" s="1"/>
      <c r="C777" s="17"/>
      <c r="D777" s="17" t="s">
        <v>303</v>
      </c>
      <c r="E777" s="17">
        <v>100</v>
      </c>
      <c r="F777" s="32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4</v>
      </c>
      <c r="O777" s="31">
        <v>10</v>
      </c>
      <c r="P777" s="32">
        <f t="shared" si="111"/>
        <v>0</v>
      </c>
      <c r="Q777" s="6">
        <f t="shared" si="112"/>
        <v>100</v>
      </c>
      <c r="R777" s="59">
        <f t="shared" si="113"/>
        <v>1</v>
      </c>
      <c r="S777" s="1"/>
      <c r="T777" s="1"/>
      <c r="U777" s="1"/>
    </row>
    <row r="778" spans="1:21" ht="9.75" customHeight="1" x14ac:dyDescent="0.4">
      <c r="A778" s="1"/>
      <c r="B778" s="1"/>
      <c r="C778" s="17"/>
      <c r="D778" s="17" t="s">
        <v>369</v>
      </c>
      <c r="E778" s="17"/>
      <c r="F778" s="32"/>
      <c r="G778" s="6"/>
      <c r="H778" s="6"/>
      <c r="I778" s="6"/>
      <c r="J778" s="6"/>
      <c r="K778" s="6"/>
      <c r="L778" s="6"/>
      <c r="M778" s="6"/>
      <c r="N778" s="6"/>
      <c r="O778" s="31"/>
      <c r="P778" s="32"/>
      <c r="Q778" s="6"/>
      <c r="R778" s="59"/>
      <c r="S778" s="1"/>
      <c r="T778" s="1"/>
      <c r="U778" s="1"/>
    </row>
    <row r="779" spans="1:21" ht="9.75" customHeight="1" x14ac:dyDescent="0.4">
      <c r="A779" s="1"/>
      <c r="B779" s="1"/>
      <c r="C779" s="17"/>
      <c r="D779" s="17" t="s">
        <v>369</v>
      </c>
      <c r="E779" s="17"/>
      <c r="F779" s="32"/>
      <c r="G779" s="6"/>
      <c r="H779" s="6"/>
      <c r="I779" s="6"/>
      <c r="J779" s="6"/>
      <c r="K779" s="6"/>
      <c r="L779" s="6"/>
      <c r="M779" s="6"/>
      <c r="N779" s="6"/>
      <c r="O779" s="31"/>
      <c r="P779" s="32"/>
      <c r="Q779" s="6"/>
      <c r="R779" s="59"/>
      <c r="S779" s="1"/>
      <c r="T779" s="1"/>
      <c r="U779" s="1"/>
    </row>
    <row r="780" spans="1:21" ht="9.75" customHeight="1" x14ac:dyDescent="0.4">
      <c r="A780" s="1"/>
      <c r="B780" s="1"/>
      <c r="C780" s="17"/>
      <c r="D780" s="17" t="s">
        <v>308</v>
      </c>
      <c r="E780" s="17"/>
      <c r="F780" s="32"/>
      <c r="G780" s="6"/>
      <c r="H780" s="6"/>
      <c r="I780" s="6"/>
      <c r="J780" s="6"/>
      <c r="K780" s="6"/>
      <c r="L780" s="6"/>
      <c r="M780" s="6"/>
      <c r="N780" s="6"/>
      <c r="O780" s="31"/>
      <c r="P780" s="32"/>
      <c r="Q780" s="6"/>
      <c r="R780" s="59"/>
      <c r="S780" s="1"/>
      <c r="T780" s="1"/>
      <c r="U780" s="1"/>
    </row>
    <row r="781" spans="1:21" ht="9.75" customHeight="1" x14ac:dyDescent="0.4">
      <c r="A781" s="1"/>
      <c r="B781" s="1"/>
      <c r="C781" s="17"/>
      <c r="D781" s="17" t="s">
        <v>374</v>
      </c>
      <c r="E781" s="17"/>
      <c r="F781" s="32"/>
      <c r="G781" s="6"/>
      <c r="H781" s="6"/>
      <c r="I781" s="6"/>
      <c r="J781" s="6"/>
      <c r="K781" s="6"/>
      <c r="L781" s="6"/>
      <c r="M781" s="6"/>
      <c r="N781" s="6"/>
      <c r="O781" s="31"/>
      <c r="P781" s="32"/>
      <c r="Q781" s="6"/>
      <c r="R781" s="59"/>
      <c r="S781" s="1"/>
      <c r="T781" s="1"/>
      <c r="U781" s="1"/>
    </row>
    <row r="782" spans="1:21" ht="9.75" customHeight="1" x14ac:dyDescent="0.4">
      <c r="A782" s="1"/>
      <c r="B782" s="1"/>
      <c r="C782" s="17"/>
      <c r="D782" s="17" t="s">
        <v>374</v>
      </c>
      <c r="E782" s="17"/>
      <c r="F782" s="32"/>
      <c r="G782" s="6"/>
      <c r="H782" s="6"/>
      <c r="I782" s="6"/>
      <c r="J782" s="6"/>
      <c r="K782" s="6"/>
      <c r="L782" s="6"/>
      <c r="M782" s="6"/>
      <c r="N782" s="6"/>
      <c r="O782" s="31"/>
      <c r="P782" s="32"/>
      <c r="Q782" s="6"/>
      <c r="R782" s="59"/>
      <c r="S782" s="1"/>
      <c r="T782" s="1"/>
      <c r="U782" s="1"/>
    </row>
    <row r="783" spans="1:21" ht="9.75" customHeight="1" x14ac:dyDescent="0.4">
      <c r="A783" s="1"/>
      <c r="B783" s="1"/>
      <c r="C783" s="17"/>
      <c r="D783" s="17" t="s">
        <v>374</v>
      </c>
      <c r="E783" s="17"/>
      <c r="F783" s="32"/>
      <c r="G783" s="6"/>
      <c r="H783" s="6"/>
      <c r="I783" s="6"/>
      <c r="J783" s="6"/>
      <c r="K783" s="6"/>
      <c r="L783" s="6"/>
      <c r="M783" s="6"/>
      <c r="N783" s="6"/>
      <c r="O783" s="31"/>
      <c r="P783" s="32"/>
      <c r="Q783" s="6"/>
      <c r="R783" s="59"/>
      <c r="S783" s="1"/>
      <c r="T783" s="1"/>
      <c r="U783" s="1"/>
    </row>
    <row r="784" spans="1:21" ht="9.75" customHeight="1" x14ac:dyDescent="0.4">
      <c r="A784" s="1"/>
      <c r="B784" s="1"/>
      <c r="C784" s="17"/>
      <c r="D784" s="17" t="s">
        <v>374</v>
      </c>
      <c r="E784" s="17"/>
      <c r="F784" s="32"/>
      <c r="G784" s="6"/>
      <c r="H784" s="6"/>
      <c r="I784" s="6"/>
      <c r="J784" s="6"/>
      <c r="K784" s="6"/>
      <c r="L784" s="6"/>
      <c r="M784" s="6"/>
      <c r="N784" s="6"/>
      <c r="O784" s="31"/>
      <c r="P784" s="32"/>
      <c r="Q784" s="6"/>
      <c r="R784" s="59"/>
      <c r="S784" s="1"/>
      <c r="T784" s="1"/>
      <c r="U784" s="1"/>
    </row>
    <row r="785" spans="1:21" ht="9.75" customHeight="1" x14ac:dyDescent="0.4">
      <c r="A785" s="1"/>
      <c r="B785" s="1"/>
      <c r="C785" s="17"/>
      <c r="D785" s="17" t="s">
        <v>374</v>
      </c>
      <c r="E785" s="17"/>
      <c r="F785" s="32"/>
      <c r="G785" s="6"/>
      <c r="H785" s="6"/>
      <c r="I785" s="6"/>
      <c r="J785" s="6"/>
      <c r="K785" s="6"/>
      <c r="L785" s="6"/>
      <c r="M785" s="6"/>
      <c r="N785" s="6"/>
      <c r="O785" s="31"/>
      <c r="P785" s="32"/>
      <c r="Q785" s="6"/>
      <c r="R785" s="59"/>
      <c r="S785" s="1"/>
      <c r="T785" s="1"/>
      <c r="U785" s="1"/>
    </row>
    <row r="786" spans="1:21" ht="9.75" customHeight="1" x14ac:dyDescent="0.4">
      <c r="A786" s="1"/>
      <c r="B786" s="1"/>
      <c r="C786" s="17"/>
      <c r="D786" s="17" t="s">
        <v>374</v>
      </c>
      <c r="E786" s="17"/>
      <c r="F786" s="32"/>
      <c r="G786" s="6"/>
      <c r="H786" s="6"/>
      <c r="I786" s="6"/>
      <c r="J786" s="6"/>
      <c r="K786" s="6"/>
      <c r="L786" s="6"/>
      <c r="M786" s="6"/>
      <c r="N786" s="6"/>
      <c r="O786" s="31"/>
      <c r="P786" s="32"/>
      <c r="Q786" s="6"/>
      <c r="R786" s="59"/>
      <c r="S786" s="1"/>
      <c r="T786" s="1"/>
      <c r="U786" s="1"/>
    </row>
    <row r="787" spans="1:21" ht="9.75" customHeight="1" x14ac:dyDescent="0.4">
      <c r="A787" s="1"/>
      <c r="B787" s="1"/>
      <c r="C787" s="17"/>
      <c r="D787" s="17" t="s">
        <v>310</v>
      </c>
      <c r="E787" s="17"/>
      <c r="F787" s="32"/>
      <c r="G787" s="6"/>
      <c r="H787" s="6"/>
      <c r="I787" s="6"/>
      <c r="J787" s="6"/>
      <c r="K787" s="6"/>
      <c r="L787" s="6"/>
      <c r="M787" s="6"/>
      <c r="N787" s="6"/>
      <c r="O787" s="31"/>
      <c r="P787" s="32"/>
      <c r="Q787" s="6"/>
      <c r="R787" s="59"/>
      <c r="S787" s="1"/>
      <c r="T787" s="1"/>
      <c r="U787" s="1"/>
    </row>
    <row r="788" spans="1:21" ht="9.75" customHeight="1" x14ac:dyDescent="0.4">
      <c r="A788" s="1"/>
      <c r="B788" s="1"/>
      <c r="C788" s="17"/>
      <c r="D788" s="17" t="s">
        <v>311</v>
      </c>
      <c r="E788" s="17"/>
      <c r="F788" s="32"/>
      <c r="G788" s="6"/>
      <c r="H788" s="6"/>
      <c r="I788" s="6"/>
      <c r="J788" s="6"/>
      <c r="K788" s="6"/>
      <c r="L788" s="6"/>
      <c r="M788" s="6"/>
      <c r="N788" s="6"/>
      <c r="O788" s="31"/>
      <c r="P788" s="32"/>
      <c r="Q788" s="6"/>
      <c r="R788" s="59"/>
      <c r="S788" s="1"/>
      <c r="T788" s="1"/>
      <c r="U788" s="1"/>
    </row>
    <row r="789" spans="1:21" ht="9.75" customHeight="1" x14ac:dyDescent="0.4">
      <c r="A789" s="1"/>
      <c r="B789" s="1"/>
      <c r="C789" s="17"/>
      <c r="D789" s="17" t="s">
        <v>312</v>
      </c>
      <c r="E789" s="17"/>
      <c r="F789" s="32"/>
      <c r="G789" s="6"/>
      <c r="H789" s="6"/>
      <c r="I789" s="6"/>
      <c r="J789" s="6"/>
      <c r="K789" s="6"/>
      <c r="L789" s="6"/>
      <c r="M789" s="6"/>
      <c r="N789" s="6"/>
      <c r="O789" s="31"/>
      <c r="P789" s="32"/>
      <c r="Q789" s="6"/>
      <c r="R789" s="59"/>
      <c r="S789" s="1"/>
      <c r="T789" s="1"/>
      <c r="U789" s="1"/>
    </row>
    <row r="790" spans="1:21" ht="9.75" customHeight="1" x14ac:dyDescent="0.4">
      <c r="A790" s="1"/>
      <c r="B790" s="1"/>
      <c r="C790" s="17"/>
      <c r="D790" s="17" t="s">
        <v>313</v>
      </c>
      <c r="E790" s="17"/>
      <c r="F790" s="32"/>
      <c r="G790" s="6"/>
      <c r="H790" s="6"/>
      <c r="I790" s="6"/>
      <c r="J790" s="6"/>
      <c r="K790" s="6"/>
      <c r="L790" s="6"/>
      <c r="M790" s="6"/>
      <c r="N790" s="6"/>
      <c r="O790" s="31"/>
      <c r="P790" s="32"/>
      <c r="Q790" s="6"/>
      <c r="R790" s="59"/>
      <c r="S790" s="1"/>
      <c r="T790" s="1"/>
      <c r="U790" s="1"/>
    </row>
    <row r="791" spans="1:21" ht="9.75" customHeight="1" x14ac:dyDescent="0.4">
      <c r="A791" s="1"/>
      <c r="B791" s="1" t="s">
        <v>395</v>
      </c>
      <c r="C791" s="34"/>
      <c r="D791" s="65" t="s">
        <v>314</v>
      </c>
      <c r="E791" s="65">
        <f t="shared" ref="E791:O791" si="114">SUM(E775:E790)</f>
        <v>189</v>
      </c>
      <c r="F791" s="104">
        <f t="shared" si="114"/>
        <v>66</v>
      </c>
      <c r="G791" s="128">
        <f t="shared" si="114"/>
        <v>37</v>
      </c>
      <c r="H791" s="128">
        <f t="shared" si="114"/>
        <v>11</v>
      </c>
      <c r="I791" s="128">
        <f t="shared" si="114"/>
        <v>0</v>
      </c>
      <c r="J791" s="128">
        <f t="shared" si="114"/>
        <v>0</v>
      </c>
      <c r="K791" s="128">
        <f t="shared" si="114"/>
        <v>0</v>
      </c>
      <c r="L791" s="128">
        <f t="shared" si="114"/>
        <v>5</v>
      </c>
      <c r="M791" s="128">
        <f t="shared" si="114"/>
        <v>7</v>
      </c>
      <c r="N791" s="128">
        <f t="shared" si="114"/>
        <v>22</v>
      </c>
      <c r="O791" s="129">
        <f t="shared" si="114"/>
        <v>62</v>
      </c>
      <c r="P791" s="104">
        <f>MIN(F791:O791)</f>
        <v>0</v>
      </c>
      <c r="Q791" s="128">
        <f>E791-P791</f>
        <v>189</v>
      </c>
      <c r="R791" s="72">
        <f>Q791/E791</f>
        <v>1</v>
      </c>
      <c r="S791" s="1"/>
      <c r="T791" s="1"/>
      <c r="U791" s="1"/>
    </row>
    <row r="792" spans="1:21" ht="9.75" customHeight="1" x14ac:dyDescent="0.4">
      <c r="A792" s="1"/>
      <c r="B792" s="1"/>
      <c r="C792" s="15" t="s">
        <v>220</v>
      </c>
      <c r="D792" s="191" t="s">
        <v>300</v>
      </c>
      <c r="E792" s="15"/>
      <c r="F792" s="73"/>
      <c r="G792" s="108"/>
      <c r="H792" s="108"/>
      <c r="I792" s="108"/>
      <c r="J792" s="108"/>
      <c r="K792" s="108"/>
      <c r="L792" s="108"/>
      <c r="M792" s="108"/>
      <c r="N792" s="108"/>
      <c r="O792" s="109"/>
      <c r="P792" s="73"/>
      <c r="Q792" s="108"/>
      <c r="R792" s="188"/>
      <c r="S792" s="1"/>
      <c r="T792" s="1"/>
      <c r="U792" s="1"/>
    </row>
    <row r="793" spans="1:21" ht="9.75" customHeight="1" x14ac:dyDescent="0.4">
      <c r="A793" s="1"/>
      <c r="B793" s="1"/>
      <c r="C793" s="17"/>
      <c r="D793" s="17" t="s">
        <v>301</v>
      </c>
      <c r="E793" s="17">
        <v>165</v>
      </c>
      <c r="F793" s="32">
        <f>E793-66</f>
        <v>99</v>
      </c>
      <c r="G793" s="6">
        <v>8</v>
      </c>
      <c r="H793" s="6">
        <v>1</v>
      </c>
      <c r="I793" s="6">
        <v>0</v>
      </c>
      <c r="J793" s="6">
        <v>0</v>
      </c>
      <c r="K793" s="74">
        <v>0</v>
      </c>
      <c r="L793" s="74">
        <v>0</v>
      </c>
      <c r="M793" s="74">
        <f>E793-26</f>
        <v>139</v>
      </c>
      <c r="N793" s="74">
        <f>E793-39</f>
        <v>126</v>
      </c>
      <c r="O793" s="123">
        <f>E793-10</f>
        <v>155</v>
      </c>
      <c r="P793" s="32">
        <f>MIN(F793:O793)</f>
        <v>0</v>
      </c>
      <c r="Q793" s="6">
        <f>E793-P793</f>
        <v>165</v>
      </c>
      <c r="R793" s="59">
        <f>Q793/E793</f>
        <v>1</v>
      </c>
      <c r="S793" s="1"/>
      <c r="T793" s="1"/>
      <c r="U793" s="1"/>
    </row>
    <row r="794" spans="1:21" ht="9.75" customHeight="1" x14ac:dyDescent="0.4">
      <c r="A794" s="1"/>
      <c r="B794" s="1"/>
      <c r="C794" s="17"/>
      <c r="D794" s="17" t="s">
        <v>303</v>
      </c>
      <c r="E794" s="17"/>
      <c r="F794" s="32"/>
      <c r="G794" s="6"/>
      <c r="H794" s="6"/>
      <c r="I794" s="6"/>
      <c r="J794" s="6"/>
      <c r="K794" s="192"/>
      <c r="L794" s="192"/>
      <c r="M794" s="192"/>
      <c r="N794" s="192"/>
      <c r="O794" s="193"/>
      <c r="P794" s="32"/>
      <c r="Q794" s="6"/>
      <c r="R794" s="59"/>
      <c r="S794" s="1"/>
      <c r="T794" s="1"/>
      <c r="U794" s="1"/>
    </row>
    <row r="795" spans="1:21" ht="9.75" customHeight="1" x14ac:dyDescent="0.4">
      <c r="A795" s="1"/>
      <c r="B795" s="1"/>
      <c r="C795" s="17"/>
      <c r="D795" s="17" t="s">
        <v>369</v>
      </c>
      <c r="E795" s="17"/>
      <c r="F795" s="32"/>
      <c r="G795" s="6"/>
      <c r="H795" s="6"/>
      <c r="I795" s="6"/>
      <c r="J795" s="6"/>
      <c r="K795" s="192"/>
      <c r="L795" s="192"/>
      <c r="M795" s="192"/>
      <c r="N795" s="192"/>
      <c r="O795" s="193"/>
      <c r="P795" s="32"/>
      <c r="Q795" s="6"/>
      <c r="R795" s="59"/>
      <c r="S795" s="1"/>
      <c r="T795" s="1"/>
      <c r="U795" s="1"/>
    </row>
    <row r="796" spans="1:21" ht="9.75" customHeight="1" x14ac:dyDescent="0.4">
      <c r="A796" s="1"/>
      <c r="B796" s="1"/>
      <c r="C796" s="17"/>
      <c r="D796" s="17" t="s">
        <v>369</v>
      </c>
      <c r="E796" s="17"/>
      <c r="F796" s="32"/>
      <c r="G796" s="6"/>
      <c r="H796" s="6"/>
      <c r="I796" s="6"/>
      <c r="J796" s="6"/>
      <c r="K796" s="192"/>
      <c r="L796" s="192"/>
      <c r="M796" s="192"/>
      <c r="N796" s="192"/>
      <c r="O796" s="193"/>
      <c r="P796" s="32"/>
      <c r="Q796" s="6"/>
      <c r="R796" s="59"/>
      <c r="S796" s="1"/>
      <c r="T796" s="1"/>
      <c r="U796" s="1"/>
    </row>
    <row r="797" spans="1:21" ht="9.75" customHeight="1" x14ac:dyDescent="0.4">
      <c r="A797" s="1"/>
      <c r="B797" s="1"/>
      <c r="C797" s="17"/>
      <c r="D797" s="17" t="s">
        <v>308</v>
      </c>
      <c r="E797" s="17"/>
      <c r="F797" s="32"/>
      <c r="G797" s="6"/>
      <c r="H797" s="6"/>
      <c r="I797" s="6"/>
      <c r="J797" s="6"/>
      <c r="K797" s="192"/>
      <c r="L797" s="192"/>
      <c r="M797" s="192"/>
      <c r="N797" s="192"/>
      <c r="O797" s="193"/>
      <c r="P797" s="32"/>
      <c r="Q797" s="6"/>
      <c r="R797" s="59"/>
      <c r="S797" s="1"/>
      <c r="T797" s="1"/>
      <c r="U797" s="1"/>
    </row>
    <row r="798" spans="1:21" ht="9.75" customHeight="1" x14ac:dyDescent="0.4">
      <c r="A798" s="1"/>
      <c r="B798" s="1"/>
      <c r="C798" s="17"/>
      <c r="D798" s="17" t="s">
        <v>372</v>
      </c>
      <c r="E798" s="17">
        <v>10</v>
      </c>
      <c r="F798" s="32">
        <f>E798-6</f>
        <v>4</v>
      </c>
      <c r="G798" s="6">
        <f>E798-7</f>
        <v>3</v>
      </c>
      <c r="H798" s="6">
        <f>E798-8</f>
        <v>2</v>
      </c>
      <c r="I798" s="6">
        <f>E798-6</f>
        <v>4</v>
      </c>
      <c r="J798" s="6">
        <v>2</v>
      </c>
      <c r="K798" s="74">
        <v>5</v>
      </c>
      <c r="L798" s="74">
        <v>4</v>
      </c>
      <c r="M798" s="74">
        <v>7</v>
      </c>
      <c r="N798" s="74">
        <v>7</v>
      </c>
      <c r="O798" s="123">
        <v>9</v>
      </c>
      <c r="P798" s="32">
        <f>MIN(F798:O798)</f>
        <v>2</v>
      </c>
      <c r="Q798" s="6">
        <f>E798-P798</f>
        <v>8</v>
      </c>
      <c r="R798" s="59">
        <f>Q798/E798</f>
        <v>0.8</v>
      </c>
      <c r="S798" s="1"/>
      <c r="T798" s="1"/>
      <c r="U798" s="1"/>
    </row>
    <row r="799" spans="1:21" ht="9.75" customHeight="1" x14ac:dyDescent="0.4">
      <c r="A799" s="1"/>
      <c r="B799" s="1"/>
      <c r="C799" s="17"/>
      <c r="D799" s="17" t="s">
        <v>374</v>
      </c>
      <c r="E799" s="17"/>
      <c r="F799" s="32"/>
      <c r="G799" s="6"/>
      <c r="H799" s="6"/>
      <c r="I799" s="6"/>
      <c r="J799" s="6"/>
      <c r="K799" s="6"/>
      <c r="L799" s="6"/>
      <c r="M799" s="6"/>
      <c r="N799" s="6"/>
      <c r="O799" s="31"/>
      <c r="P799" s="32"/>
      <c r="Q799" s="6"/>
      <c r="R799" s="59"/>
      <c r="S799" s="1"/>
      <c r="T799" s="1"/>
      <c r="U799" s="1"/>
    </row>
    <row r="800" spans="1:21" ht="9.75" customHeight="1" x14ac:dyDescent="0.4">
      <c r="A800" s="1"/>
      <c r="B800" s="1"/>
      <c r="C800" s="17"/>
      <c r="D800" s="17" t="s">
        <v>374</v>
      </c>
      <c r="E800" s="17"/>
      <c r="F800" s="32"/>
      <c r="G800" s="6"/>
      <c r="H800" s="6"/>
      <c r="I800" s="6"/>
      <c r="J800" s="6"/>
      <c r="K800" s="6"/>
      <c r="L800" s="6"/>
      <c r="M800" s="6"/>
      <c r="N800" s="6"/>
      <c r="O800" s="31"/>
      <c r="P800" s="32"/>
      <c r="Q800" s="6"/>
      <c r="R800" s="59"/>
      <c r="S800" s="1"/>
      <c r="T800" s="1"/>
      <c r="U800" s="1"/>
    </row>
    <row r="801" spans="1:21" ht="9.75" customHeight="1" x14ac:dyDescent="0.4">
      <c r="A801" s="1"/>
      <c r="B801" s="1"/>
      <c r="C801" s="17"/>
      <c r="D801" s="17" t="s">
        <v>374</v>
      </c>
      <c r="E801" s="17"/>
      <c r="F801" s="32"/>
      <c r="G801" s="6"/>
      <c r="H801" s="6"/>
      <c r="I801" s="6"/>
      <c r="J801" s="6"/>
      <c r="K801" s="6"/>
      <c r="L801" s="6"/>
      <c r="M801" s="6"/>
      <c r="N801" s="6"/>
      <c r="O801" s="31"/>
      <c r="P801" s="32"/>
      <c r="Q801" s="6"/>
      <c r="R801" s="59"/>
      <c r="S801" s="1"/>
      <c r="T801" s="1"/>
      <c r="U801" s="1"/>
    </row>
    <row r="802" spans="1:21" ht="9.75" customHeight="1" x14ac:dyDescent="0.4">
      <c r="A802" s="1"/>
      <c r="B802" s="1"/>
      <c r="C802" s="17"/>
      <c r="D802" s="17" t="s">
        <v>374</v>
      </c>
      <c r="E802" s="17"/>
      <c r="F802" s="32"/>
      <c r="G802" s="6"/>
      <c r="H802" s="6"/>
      <c r="I802" s="6"/>
      <c r="J802" s="6"/>
      <c r="K802" s="6"/>
      <c r="L802" s="6"/>
      <c r="M802" s="6"/>
      <c r="N802" s="6"/>
      <c r="O802" s="31"/>
      <c r="P802" s="32"/>
      <c r="Q802" s="6"/>
      <c r="R802" s="59"/>
      <c r="S802" s="1"/>
      <c r="T802" s="1"/>
      <c r="U802" s="1"/>
    </row>
    <row r="803" spans="1:21" ht="9.75" customHeight="1" x14ac:dyDescent="0.4">
      <c r="A803" s="1"/>
      <c r="B803" s="1"/>
      <c r="C803" s="17"/>
      <c r="D803" s="17" t="s">
        <v>374</v>
      </c>
      <c r="E803" s="17"/>
      <c r="F803" s="32"/>
      <c r="G803" s="6"/>
      <c r="H803" s="6"/>
      <c r="I803" s="6"/>
      <c r="J803" s="6"/>
      <c r="K803" s="6"/>
      <c r="L803" s="6"/>
      <c r="M803" s="6"/>
      <c r="N803" s="6"/>
      <c r="O803" s="31"/>
      <c r="P803" s="32"/>
      <c r="Q803" s="6"/>
      <c r="R803" s="59"/>
      <c r="S803" s="1"/>
      <c r="T803" s="1"/>
      <c r="U803" s="1"/>
    </row>
    <row r="804" spans="1:21" ht="9.75" customHeight="1" x14ac:dyDescent="0.4">
      <c r="A804" s="1"/>
      <c r="B804" s="1"/>
      <c r="C804" s="17"/>
      <c r="D804" s="17" t="s">
        <v>310</v>
      </c>
      <c r="E804" s="17"/>
      <c r="F804" s="32"/>
      <c r="G804" s="6"/>
      <c r="H804" s="6"/>
      <c r="I804" s="6"/>
      <c r="J804" s="6"/>
      <c r="K804" s="6"/>
      <c r="L804" s="6"/>
      <c r="M804" s="6"/>
      <c r="N804" s="6"/>
      <c r="O804" s="31"/>
      <c r="P804" s="32"/>
      <c r="Q804" s="6"/>
      <c r="R804" s="59"/>
      <c r="S804" s="1"/>
      <c r="T804" s="1"/>
      <c r="U804" s="1"/>
    </row>
    <row r="805" spans="1:21" ht="9.75" customHeight="1" x14ac:dyDescent="0.4">
      <c r="A805" s="1"/>
      <c r="B805" s="1"/>
      <c r="C805" s="17"/>
      <c r="D805" s="17" t="s">
        <v>311</v>
      </c>
      <c r="E805" s="17"/>
      <c r="F805" s="32"/>
      <c r="G805" s="6"/>
      <c r="H805" s="6"/>
      <c r="I805" s="6"/>
      <c r="J805" s="6"/>
      <c r="K805" s="6"/>
      <c r="L805" s="6"/>
      <c r="M805" s="6"/>
      <c r="N805" s="6"/>
      <c r="O805" s="31"/>
      <c r="P805" s="32"/>
      <c r="Q805" s="6"/>
      <c r="R805" s="59"/>
      <c r="S805" s="1"/>
      <c r="T805" s="1"/>
      <c r="U805" s="1"/>
    </row>
    <row r="806" spans="1:21" ht="9.75" customHeight="1" x14ac:dyDescent="0.4">
      <c r="A806" s="1"/>
      <c r="B806" s="1"/>
      <c r="C806" s="17"/>
      <c r="D806" s="17" t="s">
        <v>312</v>
      </c>
      <c r="E806" s="17"/>
      <c r="F806" s="32"/>
      <c r="G806" s="6"/>
      <c r="H806" s="6"/>
      <c r="I806" s="6"/>
      <c r="J806" s="6"/>
      <c r="K806" s="6"/>
      <c r="L806" s="6"/>
      <c r="M806" s="6"/>
      <c r="N806" s="6"/>
      <c r="O806" s="31"/>
      <c r="P806" s="32"/>
      <c r="Q806" s="6"/>
      <c r="R806" s="59"/>
      <c r="S806" s="1"/>
      <c r="T806" s="1"/>
      <c r="U806" s="1"/>
    </row>
    <row r="807" spans="1:21" ht="9.75" customHeight="1" x14ac:dyDescent="0.4">
      <c r="A807" s="1"/>
      <c r="B807" s="1"/>
      <c r="C807" s="17"/>
      <c r="D807" s="17" t="s">
        <v>313</v>
      </c>
      <c r="E807" s="17"/>
      <c r="F807" s="32"/>
      <c r="G807" s="6"/>
      <c r="H807" s="6"/>
      <c r="I807" s="6"/>
      <c r="J807" s="6"/>
      <c r="K807" s="6"/>
      <c r="L807" s="6"/>
      <c r="M807" s="6"/>
      <c r="N807" s="6"/>
      <c r="O807" s="31"/>
      <c r="P807" s="32"/>
      <c r="Q807" s="6"/>
      <c r="R807" s="59"/>
      <c r="S807" s="1"/>
      <c r="T807" s="1"/>
      <c r="U807" s="1"/>
    </row>
    <row r="808" spans="1:21" ht="9.75" customHeight="1" x14ac:dyDescent="0.4">
      <c r="A808" s="1"/>
      <c r="B808" s="1" t="s">
        <v>395</v>
      </c>
      <c r="C808" s="34"/>
      <c r="D808" s="65" t="s">
        <v>314</v>
      </c>
      <c r="E808" s="65">
        <f t="shared" ref="E808:O808" si="115">SUM(E792:E807)</f>
        <v>175</v>
      </c>
      <c r="F808" s="104">
        <f t="shared" si="115"/>
        <v>103</v>
      </c>
      <c r="G808" s="128">
        <f t="shared" si="115"/>
        <v>11</v>
      </c>
      <c r="H808" s="128">
        <f t="shared" si="115"/>
        <v>3</v>
      </c>
      <c r="I808" s="128">
        <f t="shared" si="115"/>
        <v>4</v>
      </c>
      <c r="J808" s="128">
        <f t="shared" si="115"/>
        <v>2</v>
      </c>
      <c r="K808" s="128">
        <f t="shared" si="115"/>
        <v>5</v>
      </c>
      <c r="L808" s="128">
        <f t="shared" si="115"/>
        <v>4</v>
      </c>
      <c r="M808" s="128">
        <f t="shared" si="115"/>
        <v>146</v>
      </c>
      <c r="N808" s="128">
        <f t="shared" si="115"/>
        <v>133</v>
      </c>
      <c r="O808" s="129">
        <f t="shared" si="115"/>
        <v>164</v>
      </c>
      <c r="P808" s="104">
        <f t="shared" ref="P808:P810" si="116">MIN(F808:O808)</f>
        <v>2</v>
      </c>
      <c r="Q808" s="128">
        <f t="shared" ref="Q808:Q810" si="117">E808-P808</f>
        <v>173</v>
      </c>
      <c r="R808" s="72">
        <f t="shared" ref="R808:R810" si="118">Q808/E808</f>
        <v>0.98857142857142855</v>
      </c>
      <c r="S808" s="1"/>
      <c r="T808" s="1"/>
      <c r="U808" s="1"/>
    </row>
    <row r="809" spans="1:21" ht="9.75" customHeight="1" x14ac:dyDescent="0.4">
      <c r="A809" s="1"/>
      <c r="B809" s="1"/>
      <c r="C809" s="15" t="s">
        <v>224</v>
      </c>
      <c r="D809" s="191" t="s">
        <v>300</v>
      </c>
      <c r="E809" s="15">
        <v>61</v>
      </c>
      <c r="F809" s="73">
        <f>E809-14</f>
        <v>47</v>
      </c>
      <c r="G809" s="108">
        <f>E809-34</f>
        <v>27</v>
      </c>
      <c r="H809" s="108">
        <v>6</v>
      </c>
      <c r="I809" s="108">
        <v>4</v>
      </c>
      <c r="J809" s="108">
        <v>2</v>
      </c>
      <c r="K809" s="108">
        <v>4</v>
      </c>
      <c r="L809" s="108">
        <v>6</v>
      </c>
      <c r="M809" s="108">
        <v>2</v>
      </c>
      <c r="N809" s="108">
        <f>E809-21</f>
        <v>40</v>
      </c>
      <c r="O809" s="109">
        <f>E809-33</f>
        <v>28</v>
      </c>
      <c r="P809" s="73">
        <f t="shared" si="116"/>
        <v>2</v>
      </c>
      <c r="Q809" s="108">
        <f t="shared" si="117"/>
        <v>59</v>
      </c>
      <c r="R809" s="188">
        <f t="shared" si="118"/>
        <v>0.96721311475409832</v>
      </c>
      <c r="S809" s="1"/>
      <c r="T809" s="1"/>
      <c r="U809" s="1"/>
    </row>
    <row r="810" spans="1:21" ht="9.75" customHeight="1" x14ac:dyDescent="0.4">
      <c r="A810" s="1"/>
      <c r="B810" s="1"/>
      <c r="C810" s="17"/>
      <c r="D810" s="17" t="s">
        <v>301</v>
      </c>
      <c r="E810" s="17">
        <f>23+52</f>
        <v>75</v>
      </c>
      <c r="F810" s="32">
        <f>E810-16-27</f>
        <v>32</v>
      </c>
      <c r="G810" s="6">
        <v>0</v>
      </c>
      <c r="H810" s="6">
        <v>0</v>
      </c>
      <c r="I810" s="6">
        <v>0</v>
      </c>
      <c r="J810" s="6">
        <v>0</v>
      </c>
      <c r="K810" s="6">
        <v>6</v>
      </c>
      <c r="L810" s="6">
        <v>3</v>
      </c>
      <c r="M810" s="6">
        <f>52-15</f>
        <v>37</v>
      </c>
      <c r="N810" s="6">
        <f>E810-10-10</f>
        <v>55</v>
      </c>
      <c r="O810" s="31">
        <f>23-21+49</f>
        <v>51</v>
      </c>
      <c r="P810" s="32">
        <f t="shared" si="116"/>
        <v>0</v>
      </c>
      <c r="Q810" s="6">
        <f t="shared" si="117"/>
        <v>75</v>
      </c>
      <c r="R810" s="59">
        <f t="shared" si="118"/>
        <v>1</v>
      </c>
      <c r="S810" s="1"/>
      <c r="T810" s="1"/>
      <c r="U810" s="1"/>
    </row>
    <row r="811" spans="1:21" ht="9.75" customHeight="1" x14ac:dyDescent="0.4">
      <c r="A811" s="1"/>
      <c r="B811" s="1"/>
      <c r="C811" s="17"/>
      <c r="D811" s="17" t="s">
        <v>303</v>
      </c>
      <c r="E811" s="17"/>
      <c r="F811" s="32"/>
      <c r="G811" s="6"/>
      <c r="H811" s="6"/>
      <c r="I811" s="6"/>
      <c r="J811" s="6"/>
      <c r="K811" s="6"/>
      <c r="L811" s="6"/>
      <c r="M811" s="6"/>
      <c r="N811" s="6"/>
      <c r="O811" s="31"/>
      <c r="P811" s="32"/>
      <c r="Q811" s="6"/>
      <c r="R811" s="59"/>
      <c r="S811" s="1"/>
      <c r="T811" s="1"/>
      <c r="U811" s="1"/>
    </row>
    <row r="812" spans="1:21" ht="9.75" customHeight="1" x14ac:dyDescent="0.4">
      <c r="A812" s="1"/>
      <c r="B812" s="1"/>
      <c r="C812" s="17"/>
      <c r="D812" s="17" t="s">
        <v>421</v>
      </c>
      <c r="E812" s="17"/>
      <c r="F812" s="32"/>
      <c r="G812" s="6"/>
      <c r="H812" s="6"/>
      <c r="I812" s="6"/>
      <c r="J812" s="6"/>
      <c r="K812" s="6"/>
      <c r="L812" s="6"/>
      <c r="M812" s="6"/>
      <c r="N812" s="6"/>
      <c r="O812" s="31"/>
      <c r="P812" s="32"/>
      <c r="Q812" s="6"/>
      <c r="R812" s="59"/>
      <c r="S812" s="1"/>
      <c r="T812" s="1"/>
      <c r="U812" s="1"/>
    </row>
    <row r="813" spans="1:21" ht="9.75" customHeight="1" x14ac:dyDescent="0.4">
      <c r="A813" s="1"/>
      <c r="B813" s="1"/>
      <c r="C813" s="17"/>
      <c r="D813" s="17" t="s">
        <v>369</v>
      </c>
      <c r="E813" s="17"/>
      <c r="F813" s="32"/>
      <c r="G813" s="6"/>
      <c r="H813" s="6"/>
      <c r="I813" s="6"/>
      <c r="J813" s="6"/>
      <c r="K813" s="6"/>
      <c r="L813" s="6"/>
      <c r="M813" s="6"/>
      <c r="N813" s="6"/>
      <c r="O813" s="31"/>
      <c r="P813" s="32"/>
      <c r="Q813" s="6"/>
      <c r="R813" s="59"/>
      <c r="S813" s="1"/>
      <c r="T813" s="1"/>
      <c r="U813" s="1"/>
    </row>
    <row r="814" spans="1:21" ht="9.75" customHeight="1" x14ac:dyDescent="0.4">
      <c r="A814" s="1"/>
      <c r="B814" s="1"/>
      <c r="C814" s="17"/>
      <c r="D814" s="17" t="s">
        <v>308</v>
      </c>
      <c r="E814" s="17">
        <v>8</v>
      </c>
      <c r="F814" s="32">
        <v>4</v>
      </c>
      <c r="G814" s="6">
        <v>4</v>
      </c>
      <c r="H814" s="6">
        <v>4</v>
      </c>
      <c r="I814" s="6">
        <v>4</v>
      </c>
      <c r="J814" s="6">
        <v>2</v>
      </c>
      <c r="K814" s="6">
        <v>4</v>
      </c>
      <c r="L814" s="6">
        <v>5</v>
      </c>
      <c r="M814" s="6">
        <v>5</v>
      </c>
      <c r="N814" s="6">
        <v>8</v>
      </c>
      <c r="O814" s="31">
        <v>7</v>
      </c>
      <c r="P814" s="32">
        <f>MIN(F814:O814)</f>
        <v>2</v>
      </c>
      <c r="Q814" s="6">
        <f>E814-P814</f>
        <v>6</v>
      </c>
      <c r="R814" s="59">
        <f>Q814/E814</f>
        <v>0.75</v>
      </c>
      <c r="S814" s="1"/>
      <c r="T814" s="1"/>
      <c r="U814" s="1"/>
    </row>
    <row r="815" spans="1:21" ht="9.75" customHeight="1" x14ac:dyDescent="0.4">
      <c r="A815" s="1"/>
      <c r="B815" s="1"/>
      <c r="C815" s="17"/>
      <c r="D815" s="17" t="s">
        <v>377</v>
      </c>
      <c r="E815" s="17"/>
      <c r="F815" s="32"/>
      <c r="G815" s="6"/>
      <c r="H815" s="6"/>
      <c r="I815" s="6"/>
      <c r="J815" s="6"/>
      <c r="K815" s="6"/>
      <c r="L815" s="6"/>
      <c r="M815" s="6"/>
      <c r="N815" s="6"/>
      <c r="O815" s="31"/>
      <c r="P815" s="32"/>
      <c r="Q815" s="6"/>
      <c r="R815" s="59"/>
      <c r="S815" s="1"/>
      <c r="T815" s="1"/>
      <c r="U815" s="1"/>
    </row>
    <row r="816" spans="1:21" ht="9.75" customHeight="1" x14ac:dyDescent="0.4">
      <c r="A816" s="1"/>
      <c r="B816" s="1"/>
      <c r="C816" s="17"/>
      <c r="D816" s="17" t="s">
        <v>372</v>
      </c>
      <c r="E816" s="17">
        <v>6</v>
      </c>
      <c r="F816" s="32">
        <v>4</v>
      </c>
      <c r="G816" s="6">
        <v>3</v>
      </c>
      <c r="H816" s="6">
        <v>4</v>
      </c>
      <c r="I816" s="6">
        <v>2</v>
      </c>
      <c r="J816" s="6">
        <v>0</v>
      </c>
      <c r="K816" s="6">
        <v>3</v>
      </c>
      <c r="L816" s="6">
        <v>2</v>
      </c>
      <c r="M816" s="6">
        <v>2</v>
      </c>
      <c r="N816" s="6">
        <v>1</v>
      </c>
      <c r="O816" s="31">
        <v>1</v>
      </c>
      <c r="P816" s="32">
        <f>MIN(F816:O816)</f>
        <v>0</v>
      </c>
      <c r="Q816" s="6">
        <f>E816-P816</f>
        <v>6</v>
      </c>
      <c r="R816" s="59">
        <f>Q816/E816</f>
        <v>1</v>
      </c>
      <c r="S816" s="1"/>
      <c r="T816" s="1"/>
      <c r="U816" s="1"/>
    </row>
    <row r="817" spans="1:21" ht="9.75" customHeight="1" x14ac:dyDescent="0.4">
      <c r="A817" s="1"/>
      <c r="B817" s="1"/>
      <c r="C817" s="17"/>
      <c r="D817" s="17" t="s">
        <v>374</v>
      </c>
      <c r="E817" s="17"/>
      <c r="F817" s="32"/>
      <c r="G817" s="6"/>
      <c r="H817" s="6"/>
      <c r="I817" s="6"/>
      <c r="J817" s="6"/>
      <c r="K817" s="6"/>
      <c r="L817" s="6"/>
      <c r="M817" s="6"/>
      <c r="N817" s="6"/>
      <c r="O817" s="31"/>
      <c r="P817" s="32"/>
      <c r="Q817" s="6"/>
      <c r="R817" s="59"/>
      <c r="S817" s="1"/>
      <c r="T817" s="1"/>
      <c r="U817" s="1"/>
    </row>
    <row r="818" spans="1:21" ht="9.75" customHeight="1" x14ac:dyDescent="0.4">
      <c r="A818" s="1"/>
      <c r="B818" s="1"/>
      <c r="C818" s="17"/>
      <c r="D818" s="17" t="s">
        <v>374</v>
      </c>
      <c r="E818" s="17"/>
      <c r="F818" s="32"/>
      <c r="G818" s="6"/>
      <c r="H818" s="6"/>
      <c r="I818" s="6"/>
      <c r="J818" s="6"/>
      <c r="K818" s="6"/>
      <c r="L818" s="6"/>
      <c r="M818" s="6"/>
      <c r="N818" s="6"/>
      <c r="O818" s="31"/>
      <c r="P818" s="32"/>
      <c r="Q818" s="6"/>
      <c r="R818" s="59"/>
      <c r="S818" s="1"/>
      <c r="T818" s="1"/>
      <c r="U818" s="1"/>
    </row>
    <row r="819" spans="1:21" ht="9.75" customHeight="1" x14ac:dyDescent="0.4">
      <c r="A819" s="1"/>
      <c r="B819" s="1"/>
      <c r="C819" s="17"/>
      <c r="D819" s="17" t="s">
        <v>374</v>
      </c>
      <c r="E819" s="17"/>
      <c r="F819" s="32"/>
      <c r="G819" s="6"/>
      <c r="H819" s="6"/>
      <c r="I819" s="6"/>
      <c r="J819" s="6"/>
      <c r="K819" s="6"/>
      <c r="L819" s="6"/>
      <c r="M819" s="6"/>
      <c r="N819" s="6"/>
      <c r="O819" s="31"/>
      <c r="P819" s="32"/>
      <c r="Q819" s="6"/>
      <c r="R819" s="59"/>
      <c r="S819" s="1"/>
      <c r="T819" s="1"/>
      <c r="U819" s="1"/>
    </row>
    <row r="820" spans="1:21" ht="9.75" customHeight="1" x14ac:dyDescent="0.4">
      <c r="A820" s="1"/>
      <c r="B820" s="1"/>
      <c r="C820" s="17"/>
      <c r="D820" s="17" t="s">
        <v>374</v>
      </c>
      <c r="E820" s="17"/>
      <c r="F820" s="32"/>
      <c r="G820" s="6"/>
      <c r="H820" s="6"/>
      <c r="I820" s="6"/>
      <c r="J820" s="6"/>
      <c r="K820" s="6"/>
      <c r="L820" s="6"/>
      <c r="M820" s="6"/>
      <c r="N820" s="6"/>
      <c r="O820" s="31"/>
      <c r="P820" s="32"/>
      <c r="Q820" s="6"/>
      <c r="R820" s="59"/>
      <c r="S820" s="1"/>
      <c r="T820" s="1"/>
      <c r="U820" s="1"/>
    </row>
    <row r="821" spans="1:21" ht="9.75" customHeight="1" x14ac:dyDescent="0.4">
      <c r="A821" s="1"/>
      <c r="B821" s="1"/>
      <c r="C821" s="17"/>
      <c r="D821" s="17" t="s">
        <v>310</v>
      </c>
      <c r="E821" s="17">
        <v>5</v>
      </c>
      <c r="F821" s="32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1</v>
      </c>
      <c r="M821" s="6">
        <v>1</v>
      </c>
      <c r="N821" s="6">
        <v>2</v>
      </c>
      <c r="O821" s="31">
        <v>5</v>
      </c>
      <c r="P821" s="32">
        <f t="shared" ref="P821:P822" si="119">MIN(F821:O821)</f>
        <v>0</v>
      </c>
      <c r="Q821" s="6">
        <f t="shared" ref="Q821:Q822" si="120">E821-P821</f>
        <v>5</v>
      </c>
      <c r="R821" s="59">
        <f t="shared" ref="R821:R822" si="121">Q821/E821</f>
        <v>1</v>
      </c>
      <c r="S821" s="1"/>
      <c r="T821" s="1"/>
      <c r="U821" s="1"/>
    </row>
    <row r="822" spans="1:21" ht="9.75" customHeight="1" x14ac:dyDescent="0.4">
      <c r="A822" s="1"/>
      <c r="B822" s="1"/>
      <c r="C822" s="17"/>
      <c r="D822" s="17" t="s">
        <v>311</v>
      </c>
      <c r="E822" s="17">
        <v>8</v>
      </c>
      <c r="F822" s="32">
        <f>E822-6</f>
        <v>2</v>
      </c>
      <c r="G822" s="6">
        <v>4</v>
      </c>
      <c r="H822" s="6">
        <v>3</v>
      </c>
      <c r="I822" s="6">
        <v>5</v>
      </c>
      <c r="J822" s="6">
        <v>3</v>
      </c>
      <c r="K822" s="6">
        <v>4</v>
      </c>
      <c r="L822" s="6">
        <v>5</v>
      </c>
      <c r="M822" s="6">
        <v>5</v>
      </c>
      <c r="N822" s="6">
        <v>7</v>
      </c>
      <c r="O822" s="31">
        <v>8</v>
      </c>
      <c r="P822" s="32">
        <f t="shared" si="119"/>
        <v>2</v>
      </c>
      <c r="Q822" s="6">
        <f t="shared" si="120"/>
        <v>6</v>
      </c>
      <c r="R822" s="59">
        <f t="shared" si="121"/>
        <v>0.75</v>
      </c>
      <c r="S822" s="1"/>
      <c r="T822" s="1"/>
      <c r="U822" s="1"/>
    </row>
    <row r="823" spans="1:21" ht="9.75" customHeight="1" x14ac:dyDescent="0.4">
      <c r="A823" s="1"/>
      <c r="B823" s="1"/>
      <c r="C823" s="17"/>
      <c r="D823" s="17" t="s">
        <v>312</v>
      </c>
      <c r="E823" s="17"/>
      <c r="F823" s="32"/>
      <c r="G823" s="6"/>
      <c r="H823" s="6"/>
      <c r="I823" s="6"/>
      <c r="J823" s="6"/>
      <c r="K823" s="6"/>
      <c r="L823" s="6"/>
      <c r="M823" s="6"/>
      <c r="N823" s="6"/>
      <c r="O823" s="31"/>
      <c r="P823" s="32"/>
      <c r="Q823" s="6"/>
      <c r="R823" s="59"/>
      <c r="S823" s="1"/>
      <c r="T823" s="1"/>
      <c r="U823" s="1"/>
    </row>
    <row r="824" spans="1:21" ht="9.75" customHeight="1" x14ac:dyDescent="0.4">
      <c r="A824" s="1"/>
      <c r="B824" s="1"/>
      <c r="C824" s="17"/>
      <c r="D824" s="17" t="s">
        <v>313</v>
      </c>
      <c r="E824" s="17"/>
      <c r="F824" s="32"/>
      <c r="G824" s="6"/>
      <c r="H824" s="6"/>
      <c r="I824" s="6"/>
      <c r="J824" s="6"/>
      <c r="K824" s="6"/>
      <c r="L824" s="6"/>
      <c r="M824" s="6"/>
      <c r="N824" s="6"/>
      <c r="O824" s="31"/>
      <c r="P824" s="32"/>
      <c r="Q824" s="6"/>
      <c r="R824" s="59"/>
      <c r="S824" s="1"/>
      <c r="T824" s="1"/>
      <c r="U824" s="1"/>
    </row>
    <row r="825" spans="1:21" ht="9.75" customHeight="1" x14ac:dyDescent="0.4">
      <c r="A825" s="1"/>
      <c r="B825" s="1" t="s">
        <v>395</v>
      </c>
      <c r="C825" s="34"/>
      <c r="D825" s="65" t="s">
        <v>314</v>
      </c>
      <c r="E825" s="65">
        <f t="shared" ref="E825:O825" si="122">SUM(E809:E824)</f>
        <v>163</v>
      </c>
      <c r="F825" s="104">
        <f t="shared" si="122"/>
        <v>89</v>
      </c>
      <c r="G825" s="128">
        <f t="shared" si="122"/>
        <v>38</v>
      </c>
      <c r="H825" s="128">
        <f t="shared" si="122"/>
        <v>17</v>
      </c>
      <c r="I825" s="128">
        <f t="shared" si="122"/>
        <v>15</v>
      </c>
      <c r="J825" s="128">
        <f t="shared" si="122"/>
        <v>7</v>
      </c>
      <c r="K825" s="128">
        <f t="shared" si="122"/>
        <v>21</v>
      </c>
      <c r="L825" s="128">
        <f t="shared" si="122"/>
        <v>22</v>
      </c>
      <c r="M825" s="128">
        <f t="shared" si="122"/>
        <v>52</v>
      </c>
      <c r="N825" s="128">
        <f t="shared" si="122"/>
        <v>113</v>
      </c>
      <c r="O825" s="129">
        <f t="shared" si="122"/>
        <v>100</v>
      </c>
      <c r="P825" s="104">
        <f t="shared" ref="P825:P826" si="123">MIN(F825:O825)</f>
        <v>7</v>
      </c>
      <c r="Q825" s="128">
        <f t="shared" ref="Q825:Q826" si="124">E825-P825</f>
        <v>156</v>
      </c>
      <c r="R825" s="72">
        <f t="shared" ref="R825:R826" si="125">Q825/E825</f>
        <v>0.95705521472392641</v>
      </c>
      <c r="S825" s="1"/>
      <c r="T825" s="1"/>
      <c r="U825" s="1"/>
    </row>
    <row r="826" spans="1:21" ht="9.75" customHeight="1" x14ac:dyDescent="0.4">
      <c r="A826" s="1"/>
      <c r="B826" s="1"/>
      <c r="C826" s="15" t="s">
        <v>226</v>
      </c>
      <c r="D826" s="191" t="s">
        <v>300</v>
      </c>
      <c r="E826" s="15">
        <v>23</v>
      </c>
      <c r="F826" s="73">
        <v>22</v>
      </c>
      <c r="G826" s="108">
        <f>E826-6</f>
        <v>17</v>
      </c>
      <c r="H826" s="108">
        <v>13</v>
      </c>
      <c r="I826" s="108">
        <f>E826-12</f>
        <v>11</v>
      </c>
      <c r="J826" s="108">
        <v>3</v>
      </c>
      <c r="K826" s="108">
        <v>3</v>
      </c>
      <c r="L826" s="108">
        <v>1</v>
      </c>
      <c r="M826" s="108">
        <v>5</v>
      </c>
      <c r="N826" s="108">
        <v>10</v>
      </c>
      <c r="O826" s="109">
        <v>11</v>
      </c>
      <c r="P826" s="73">
        <f t="shared" si="123"/>
        <v>1</v>
      </c>
      <c r="Q826" s="108">
        <f t="shared" si="124"/>
        <v>22</v>
      </c>
      <c r="R826" s="188">
        <f t="shared" si="125"/>
        <v>0.95652173913043481</v>
      </c>
      <c r="S826" s="1"/>
      <c r="T826" s="1"/>
      <c r="U826" s="1"/>
    </row>
    <row r="827" spans="1:21" ht="9.75" customHeight="1" x14ac:dyDescent="0.4">
      <c r="A827" s="1"/>
      <c r="B827" s="1"/>
      <c r="C827" s="17"/>
      <c r="D827" s="17" t="s">
        <v>301</v>
      </c>
      <c r="E827" s="17"/>
      <c r="F827" s="32"/>
      <c r="G827" s="6"/>
      <c r="H827" s="6"/>
      <c r="I827" s="6"/>
      <c r="J827" s="6"/>
      <c r="K827" s="6"/>
      <c r="L827" s="6"/>
      <c r="M827" s="6"/>
      <c r="N827" s="6"/>
      <c r="O827" s="31"/>
      <c r="P827" s="32"/>
      <c r="Q827" s="6"/>
      <c r="R827" s="59"/>
      <c r="S827" s="1"/>
      <c r="T827" s="1"/>
      <c r="U827" s="1"/>
    </row>
    <row r="828" spans="1:21" ht="9.75" customHeight="1" x14ac:dyDescent="0.4">
      <c r="A828" s="1"/>
      <c r="B828" s="1"/>
      <c r="C828" s="17"/>
      <c r="D828" s="17" t="s">
        <v>303</v>
      </c>
      <c r="E828" s="17"/>
      <c r="F828" s="32"/>
      <c r="G828" s="6"/>
      <c r="H828" s="6"/>
      <c r="I828" s="6"/>
      <c r="J828" s="6"/>
      <c r="K828" s="6"/>
      <c r="L828" s="6"/>
      <c r="M828" s="6"/>
      <c r="N828" s="6"/>
      <c r="O828" s="31"/>
      <c r="P828" s="32"/>
      <c r="Q828" s="6"/>
      <c r="R828" s="59"/>
      <c r="S828" s="1"/>
      <c r="T828" s="1"/>
      <c r="U828" s="1"/>
    </row>
    <row r="829" spans="1:21" ht="9.75" customHeight="1" x14ac:dyDescent="0.4">
      <c r="A829" s="1"/>
      <c r="B829" s="1"/>
      <c r="C829" s="17"/>
      <c r="D829" s="17" t="s">
        <v>421</v>
      </c>
      <c r="E829" s="17">
        <f>47+29</f>
        <v>76</v>
      </c>
      <c r="F829" s="32">
        <f>E829-9-8</f>
        <v>59</v>
      </c>
      <c r="G829" s="6">
        <f>47-29+5</f>
        <v>23</v>
      </c>
      <c r="H829" s="6">
        <f>47-31</f>
        <v>16</v>
      </c>
      <c r="I829" s="6">
        <v>7</v>
      </c>
      <c r="J829" s="6">
        <v>2</v>
      </c>
      <c r="K829" s="6">
        <v>2</v>
      </c>
      <c r="L829" s="6">
        <v>4</v>
      </c>
      <c r="M829" s="6">
        <v>10</v>
      </c>
      <c r="N829" s="6">
        <f>16+5</f>
        <v>21</v>
      </c>
      <c r="O829" s="31">
        <f>14+9</f>
        <v>23</v>
      </c>
      <c r="P829" s="32">
        <f>MIN(F829:O829)</f>
        <v>2</v>
      </c>
      <c r="Q829" s="6">
        <f>E829-P829</f>
        <v>74</v>
      </c>
      <c r="R829" s="59">
        <f>Q829/E829</f>
        <v>0.97368421052631582</v>
      </c>
      <c r="S829" s="1"/>
      <c r="T829" s="1"/>
      <c r="U829" s="1"/>
    </row>
    <row r="830" spans="1:21" ht="9.75" customHeight="1" x14ac:dyDescent="0.4">
      <c r="A830" s="1"/>
      <c r="B830" s="1"/>
      <c r="C830" s="17"/>
      <c r="D830" s="17" t="s">
        <v>369</v>
      </c>
      <c r="E830" s="17"/>
      <c r="F830" s="32"/>
      <c r="G830" s="6"/>
      <c r="H830" s="6"/>
      <c r="I830" s="6"/>
      <c r="J830" s="6"/>
      <c r="K830" s="6"/>
      <c r="L830" s="6"/>
      <c r="M830" s="6"/>
      <c r="N830" s="6"/>
      <c r="O830" s="31"/>
      <c r="P830" s="32"/>
      <c r="Q830" s="6"/>
      <c r="R830" s="59"/>
      <c r="S830" s="1"/>
      <c r="T830" s="1"/>
      <c r="U830" s="1"/>
    </row>
    <row r="831" spans="1:21" ht="9.75" customHeight="1" x14ac:dyDescent="0.4">
      <c r="A831" s="1"/>
      <c r="B831" s="1"/>
      <c r="C831" s="17"/>
      <c r="D831" s="17" t="s">
        <v>308</v>
      </c>
      <c r="E831" s="17"/>
      <c r="F831" s="32"/>
      <c r="G831" s="6"/>
      <c r="H831" s="6"/>
      <c r="I831" s="6"/>
      <c r="J831" s="6"/>
      <c r="K831" s="6"/>
      <c r="L831" s="6"/>
      <c r="M831" s="6"/>
      <c r="N831" s="6"/>
      <c r="O831" s="31"/>
      <c r="P831" s="32"/>
      <c r="Q831" s="6"/>
      <c r="R831" s="59"/>
      <c r="S831" s="1"/>
      <c r="T831" s="1"/>
      <c r="U831" s="1"/>
    </row>
    <row r="832" spans="1:21" ht="9.75" customHeight="1" x14ac:dyDescent="0.4">
      <c r="A832" s="1"/>
      <c r="B832" s="1"/>
      <c r="C832" s="17"/>
      <c r="D832" s="17" t="s">
        <v>428</v>
      </c>
      <c r="E832" s="17">
        <v>4</v>
      </c>
      <c r="F832" s="32">
        <v>4</v>
      </c>
      <c r="G832" s="6">
        <v>4</v>
      </c>
      <c r="H832" s="6">
        <v>4</v>
      </c>
      <c r="I832" s="6">
        <v>3</v>
      </c>
      <c r="J832" s="6">
        <v>3</v>
      </c>
      <c r="K832" s="6">
        <v>2</v>
      </c>
      <c r="L832" s="6">
        <v>3</v>
      </c>
      <c r="M832" s="6">
        <v>4</v>
      </c>
      <c r="N832" s="6">
        <v>4</v>
      </c>
      <c r="O832" s="31">
        <v>3</v>
      </c>
      <c r="P832" s="32">
        <f>MIN(F832:O832)</f>
        <v>2</v>
      </c>
      <c r="Q832" s="6">
        <f>E832-P832</f>
        <v>2</v>
      </c>
      <c r="R832" s="59">
        <f>Q832/E832</f>
        <v>0.5</v>
      </c>
      <c r="S832" s="1"/>
      <c r="T832" s="1"/>
      <c r="U832" s="1"/>
    </row>
    <row r="833" spans="1:21" ht="9.75" customHeight="1" x14ac:dyDescent="0.4">
      <c r="A833" s="1"/>
      <c r="B833" s="1"/>
      <c r="C833" s="17"/>
      <c r="D833" s="17" t="s">
        <v>374</v>
      </c>
      <c r="E833" s="17"/>
      <c r="F833" s="32"/>
      <c r="G833" s="6"/>
      <c r="H833" s="6"/>
      <c r="I833" s="6"/>
      <c r="J833" s="6"/>
      <c r="K833" s="6"/>
      <c r="L833" s="6"/>
      <c r="M833" s="6"/>
      <c r="N833" s="6"/>
      <c r="O833" s="31"/>
      <c r="P833" s="32"/>
      <c r="Q833" s="6"/>
      <c r="R833" s="59"/>
      <c r="S833" s="1"/>
      <c r="T833" s="1"/>
      <c r="U833" s="1"/>
    </row>
    <row r="834" spans="1:21" ht="9.75" customHeight="1" x14ac:dyDescent="0.4">
      <c r="A834" s="1"/>
      <c r="B834" s="1"/>
      <c r="C834" s="17"/>
      <c r="D834" s="17" t="s">
        <v>374</v>
      </c>
      <c r="E834" s="17"/>
      <c r="F834" s="32"/>
      <c r="G834" s="6"/>
      <c r="H834" s="6"/>
      <c r="I834" s="6"/>
      <c r="J834" s="6"/>
      <c r="K834" s="6"/>
      <c r="L834" s="6"/>
      <c r="M834" s="6"/>
      <c r="N834" s="6"/>
      <c r="O834" s="31"/>
      <c r="P834" s="32"/>
      <c r="Q834" s="6"/>
      <c r="R834" s="59"/>
      <c r="S834" s="1"/>
      <c r="T834" s="1"/>
      <c r="U834" s="1"/>
    </row>
    <row r="835" spans="1:21" ht="9.75" customHeight="1" x14ac:dyDescent="0.4">
      <c r="A835" s="1"/>
      <c r="B835" s="1"/>
      <c r="C835" s="17"/>
      <c r="D835" s="17" t="s">
        <v>374</v>
      </c>
      <c r="E835" s="17"/>
      <c r="F835" s="32"/>
      <c r="G835" s="6"/>
      <c r="H835" s="6"/>
      <c r="I835" s="6"/>
      <c r="J835" s="6"/>
      <c r="K835" s="6"/>
      <c r="L835" s="6"/>
      <c r="M835" s="6"/>
      <c r="N835" s="6"/>
      <c r="O835" s="31"/>
      <c r="P835" s="32"/>
      <c r="Q835" s="6"/>
      <c r="R835" s="59"/>
      <c r="S835" s="1"/>
      <c r="T835" s="1"/>
      <c r="U835" s="1"/>
    </row>
    <row r="836" spans="1:21" ht="9.75" customHeight="1" x14ac:dyDescent="0.4">
      <c r="A836" s="1"/>
      <c r="B836" s="1"/>
      <c r="C836" s="17"/>
      <c r="D836" s="17" t="s">
        <v>374</v>
      </c>
      <c r="E836" s="17"/>
      <c r="F836" s="32"/>
      <c r="G836" s="6"/>
      <c r="H836" s="6"/>
      <c r="I836" s="6"/>
      <c r="J836" s="6"/>
      <c r="K836" s="6"/>
      <c r="L836" s="6"/>
      <c r="M836" s="6"/>
      <c r="N836" s="6"/>
      <c r="O836" s="31"/>
      <c r="P836" s="32"/>
      <c r="Q836" s="6"/>
      <c r="R836" s="59"/>
      <c r="S836" s="1"/>
      <c r="T836" s="1"/>
      <c r="U836" s="1"/>
    </row>
    <row r="837" spans="1:21" ht="9.75" customHeight="1" x14ac:dyDescent="0.4">
      <c r="A837" s="1"/>
      <c r="B837" s="1"/>
      <c r="C837" s="17"/>
      <c r="D837" s="17" t="s">
        <v>374</v>
      </c>
      <c r="E837" s="17"/>
      <c r="F837" s="32"/>
      <c r="G837" s="6"/>
      <c r="H837" s="6"/>
      <c r="I837" s="6"/>
      <c r="J837" s="6"/>
      <c r="K837" s="6"/>
      <c r="L837" s="6"/>
      <c r="M837" s="6"/>
      <c r="N837" s="6"/>
      <c r="O837" s="31"/>
      <c r="P837" s="32"/>
      <c r="Q837" s="6"/>
      <c r="R837" s="59"/>
      <c r="S837" s="1"/>
      <c r="T837" s="1"/>
      <c r="U837" s="1"/>
    </row>
    <row r="838" spans="1:21" ht="9.75" customHeight="1" x14ac:dyDescent="0.4">
      <c r="A838" s="1"/>
      <c r="B838" s="1"/>
      <c r="C838" s="17"/>
      <c r="D838" s="17" t="s">
        <v>310</v>
      </c>
      <c r="E838" s="17">
        <v>10</v>
      </c>
      <c r="F838" s="32">
        <v>10</v>
      </c>
      <c r="G838" s="6">
        <v>9</v>
      </c>
      <c r="H838" s="6">
        <v>8</v>
      </c>
      <c r="I838" s="6">
        <v>9</v>
      </c>
      <c r="J838" s="6">
        <v>5</v>
      </c>
      <c r="K838" s="6">
        <v>8</v>
      </c>
      <c r="L838" s="6">
        <v>9</v>
      </c>
      <c r="M838" s="6">
        <v>10</v>
      </c>
      <c r="N838" s="6">
        <v>10</v>
      </c>
      <c r="O838" s="31">
        <v>10</v>
      </c>
      <c r="P838" s="32">
        <f>MIN(F838:O838)</f>
        <v>5</v>
      </c>
      <c r="Q838" s="6">
        <f>E838-P838</f>
        <v>5</v>
      </c>
      <c r="R838" s="59">
        <f>Q838/E838</f>
        <v>0.5</v>
      </c>
      <c r="S838" s="1"/>
      <c r="T838" s="1"/>
      <c r="U838" s="1"/>
    </row>
    <row r="839" spans="1:21" ht="9.75" customHeight="1" x14ac:dyDescent="0.4">
      <c r="A839" s="1"/>
      <c r="B839" s="1"/>
      <c r="C839" s="17"/>
      <c r="D839" s="17" t="s">
        <v>311</v>
      </c>
      <c r="E839" s="17"/>
      <c r="F839" s="32"/>
      <c r="G839" s="6"/>
      <c r="H839" s="6"/>
      <c r="I839" s="6"/>
      <c r="J839" s="6"/>
      <c r="K839" s="6"/>
      <c r="L839" s="6"/>
      <c r="M839" s="6"/>
      <c r="N839" s="6"/>
      <c r="O839" s="31"/>
      <c r="P839" s="32"/>
      <c r="Q839" s="6"/>
      <c r="R839" s="59"/>
      <c r="S839" s="1"/>
      <c r="T839" s="1"/>
      <c r="U839" s="1"/>
    </row>
    <row r="840" spans="1:21" ht="9.75" customHeight="1" x14ac:dyDescent="0.4">
      <c r="A840" s="1"/>
      <c r="B840" s="1"/>
      <c r="C840" s="17"/>
      <c r="D840" s="17" t="s">
        <v>312</v>
      </c>
      <c r="E840" s="17"/>
      <c r="F840" s="32"/>
      <c r="G840" s="6"/>
      <c r="H840" s="6"/>
      <c r="I840" s="6"/>
      <c r="J840" s="6"/>
      <c r="K840" s="6"/>
      <c r="L840" s="6"/>
      <c r="M840" s="6"/>
      <c r="N840" s="6"/>
      <c r="O840" s="31"/>
      <c r="P840" s="32"/>
      <c r="Q840" s="6"/>
      <c r="R840" s="59"/>
      <c r="S840" s="1"/>
      <c r="T840" s="1"/>
      <c r="U840" s="1"/>
    </row>
    <row r="841" spans="1:21" ht="9.75" customHeight="1" x14ac:dyDescent="0.4">
      <c r="A841" s="1"/>
      <c r="B841" s="1"/>
      <c r="C841" s="17"/>
      <c r="D841" s="17" t="s">
        <v>313</v>
      </c>
      <c r="E841" s="17"/>
      <c r="F841" s="32"/>
      <c r="G841" s="6"/>
      <c r="H841" s="6"/>
      <c r="I841" s="6"/>
      <c r="J841" s="6"/>
      <c r="K841" s="6"/>
      <c r="L841" s="6"/>
      <c r="M841" s="6"/>
      <c r="N841" s="6"/>
      <c r="O841" s="31"/>
      <c r="P841" s="32"/>
      <c r="Q841" s="6"/>
      <c r="R841" s="59"/>
      <c r="S841" s="1"/>
      <c r="T841" s="1"/>
      <c r="U841" s="1"/>
    </row>
    <row r="842" spans="1:21" ht="9.75" customHeight="1" x14ac:dyDescent="0.4">
      <c r="A842" s="1"/>
      <c r="B842" s="1" t="s">
        <v>395</v>
      </c>
      <c r="C842" s="34"/>
      <c r="D842" s="65" t="s">
        <v>314</v>
      </c>
      <c r="E842" s="65">
        <f t="shared" ref="E842:O842" si="126">SUM(E826:E841)</f>
        <v>113</v>
      </c>
      <c r="F842" s="104">
        <f t="shared" si="126"/>
        <v>95</v>
      </c>
      <c r="G842" s="128">
        <f t="shared" si="126"/>
        <v>53</v>
      </c>
      <c r="H842" s="128">
        <f t="shared" si="126"/>
        <v>41</v>
      </c>
      <c r="I842" s="128">
        <f t="shared" si="126"/>
        <v>30</v>
      </c>
      <c r="J842" s="128">
        <f t="shared" si="126"/>
        <v>13</v>
      </c>
      <c r="K842" s="128">
        <f t="shared" si="126"/>
        <v>15</v>
      </c>
      <c r="L842" s="128">
        <f t="shared" si="126"/>
        <v>17</v>
      </c>
      <c r="M842" s="128">
        <f t="shared" si="126"/>
        <v>29</v>
      </c>
      <c r="N842" s="128">
        <f t="shared" si="126"/>
        <v>45</v>
      </c>
      <c r="O842" s="129">
        <f t="shared" si="126"/>
        <v>47</v>
      </c>
      <c r="P842" s="104">
        <f>MIN(F842:O842)</f>
        <v>13</v>
      </c>
      <c r="Q842" s="128">
        <f>E842-P842</f>
        <v>100</v>
      </c>
      <c r="R842" s="72">
        <f>Q842/E842</f>
        <v>0.88495575221238942</v>
      </c>
      <c r="S842" s="1"/>
      <c r="T842" s="1"/>
      <c r="U842" s="1"/>
    </row>
    <row r="843" spans="1:21" ht="9.75" customHeight="1" x14ac:dyDescent="0.4">
      <c r="A843" s="1"/>
      <c r="B843" s="1"/>
      <c r="C843" s="15" t="s">
        <v>56</v>
      </c>
      <c r="D843" s="15" t="s">
        <v>300</v>
      </c>
      <c r="E843" s="15"/>
      <c r="F843" s="73"/>
      <c r="G843" s="108"/>
      <c r="H843" s="108"/>
      <c r="I843" s="108"/>
      <c r="J843" s="108"/>
      <c r="K843" s="108"/>
      <c r="L843" s="108"/>
      <c r="M843" s="108"/>
      <c r="N843" s="108"/>
      <c r="O843" s="109"/>
      <c r="P843" s="73"/>
      <c r="Q843" s="108"/>
      <c r="R843" s="188"/>
      <c r="S843" s="1"/>
      <c r="T843" s="1"/>
      <c r="U843" s="1"/>
    </row>
    <row r="844" spans="1:21" ht="9.75" customHeight="1" x14ac:dyDescent="0.4">
      <c r="A844" s="1"/>
      <c r="B844" s="1"/>
      <c r="C844" s="17"/>
      <c r="D844" s="17" t="s">
        <v>301</v>
      </c>
      <c r="E844" s="17">
        <v>94</v>
      </c>
      <c r="F844" s="32">
        <f>E844-56</f>
        <v>38</v>
      </c>
      <c r="G844" s="6">
        <f>E844-66</f>
        <v>28</v>
      </c>
      <c r="H844" s="6">
        <v>23</v>
      </c>
      <c r="I844" s="6">
        <v>24</v>
      </c>
      <c r="J844" s="6">
        <v>19</v>
      </c>
      <c r="K844" s="6">
        <v>25</v>
      </c>
      <c r="L844" s="6">
        <v>33</v>
      </c>
      <c r="M844" s="6">
        <v>51</v>
      </c>
      <c r="N844" s="6">
        <v>73</v>
      </c>
      <c r="O844" s="31">
        <v>79</v>
      </c>
      <c r="P844" s="32">
        <f>MIN(F844:O844)</f>
        <v>19</v>
      </c>
      <c r="Q844" s="6">
        <f>E844-P844</f>
        <v>75</v>
      </c>
      <c r="R844" s="59">
        <f>Q844/E844</f>
        <v>0.7978723404255319</v>
      </c>
      <c r="S844" s="1"/>
      <c r="T844" s="1"/>
      <c r="U844" s="1"/>
    </row>
    <row r="845" spans="1:21" ht="9.75" customHeight="1" x14ac:dyDescent="0.4">
      <c r="A845" s="1"/>
      <c r="B845" s="1"/>
      <c r="C845" s="17"/>
      <c r="D845" s="17" t="s">
        <v>303</v>
      </c>
      <c r="E845" s="17"/>
      <c r="F845" s="32"/>
      <c r="G845" s="6"/>
      <c r="H845" s="6"/>
      <c r="I845" s="6"/>
      <c r="J845" s="6"/>
      <c r="K845" s="6"/>
      <c r="L845" s="6"/>
      <c r="M845" s="6"/>
      <c r="N845" s="6"/>
      <c r="O845" s="31"/>
      <c r="P845" s="32"/>
      <c r="Q845" s="6"/>
      <c r="R845" s="59"/>
      <c r="S845" s="1"/>
      <c r="T845" s="1"/>
      <c r="U845" s="1"/>
    </row>
    <row r="846" spans="1:21" ht="9.75" customHeight="1" x14ac:dyDescent="0.4">
      <c r="A846" s="1"/>
      <c r="B846" s="1"/>
      <c r="C846" s="17"/>
      <c r="D846" s="17" t="s">
        <v>369</v>
      </c>
      <c r="E846" s="17"/>
      <c r="F846" s="32"/>
      <c r="G846" s="6"/>
      <c r="H846" s="6"/>
      <c r="I846" s="6"/>
      <c r="J846" s="6"/>
      <c r="K846" s="6"/>
      <c r="L846" s="6"/>
      <c r="M846" s="6"/>
      <c r="N846" s="6"/>
      <c r="O846" s="31"/>
      <c r="P846" s="32"/>
      <c r="Q846" s="6"/>
      <c r="R846" s="59"/>
      <c r="S846" s="1"/>
      <c r="T846" s="1"/>
      <c r="U846" s="1"/>
    </row>
    <row r="847" spans="1:21" ht="9.75" customHeight="1" x14ac:dyDescent="0.4">
      <c r="A847" s="1"/>
      <c r="B847" s="1"/>
      <c r="C847" s="17"/>
      <c r="D847" s="17" t="s">
        <v>369</v>
      </c>
      <c r="E847" s="17"/>
      <c r="F847" s="32"/>
      <c r="G847" s="6"/>
      <c r="H847" s="6"/>
      <c r="I847" s="6"/>
      <c r="J847" s="6"/>
      <c r="K847" s="6"/>
      <c r="L847" s="6"/>
      <c r="M847" s="6"/>
      <c r="N847" s="6"/>
      <c r="O847" s="31"/>
      <c r="P847" s="32"/>
      <c r="Q847" s="6"/>
      <c r="R847" s="59"/>
      <c r="S847" s="1"/>
      <c r="T847" s="1"/>
      <c r="U847" s="1"/>
    </row>
    <row r="848" spans="1:21" ht="9.75" customHeight="1" x14ac:dyDescent="0.4">
      <c r="A848" s="1"/>
      <c r="B848" s="1"/>
      <c r="C848" s="17"/>
      <c r="D848" s="17" t="s">
        <v>308</v>
      </c>
      <c r="E848" s="17">
        <v>2</v>
      </c>
      <c r="F848" s="32">
        <v>2</v>
      </c>
      <c r="G848" s="6">
        <v>1</v>
      </c>
      <c r="H848" s="6">
        <v>1</v>
      </c>
      <c r="I848" s="6">
        <v>2</v>
      </c>
      <c r="J848" s="6">
        <v>1</v>
      </c>
      <c r="K848" s="6">
        <v>1</v>
      </c>
      <c r="L848" s="6">
        <v>1</v>
      </c>
      <c r="M848" s="6">
        <v>2</v>
      </c>
      <c r="N848" s="6">
        <v>2</v>
      </c>
      <c r="O848" s="31">
        <v>2</v>
      </c>
      <c r="P848" s="32">
        <f t="shared" ref="P848:P856" si="127">MIN(F848:O848)</f>
        <v>1</v>
      </c>
      <c r="Q848" s="6">
        <f t="shared" ref="Q848:Q856" si="128">E848-P848</f>
        <v>1</v>
      </c>
      <c r="R848" s="59">
        <f t="shared" ref="R848:R856" si="129">Q848/E848</f>
        <v>0.5</v>
      </c>
      <c r="S848" s="1"/>
      <c r="T848" s="1"/>
      <c r="U848" s="1"/>
    </row>
    <row r="849" spans="1:21" ht="9.75" customHeight="1" x14ac:dyDescent="0.4">
      <c r="A849" s="1"/>
      <c r="B849" s="1"/>
      <c r="C849" s="17"/>
      <c r="D849" s="17" t="s">
        <v>429</v>
      </c>
      <c r="E849" s="17">
        <v>2</v>
      </c>
      <c r="F849" s="32">
        <v>2</v>
      </c>
      <c r="G849" s="6">
        <v>1</v>
      </c>
      <c r="H849" s="6">
        <v>1</v>
      </c>
      <c r="I849" s="6">
        <v>1</v>
      </c>
      <c r="J849" s="6">
        <v>1</v>
      </c>
      <c r="K849" s="6">
        <v>1</v>
      </c>
      <c r="L849" s="6">
        <v>1</v>
      </c>
      <c r="M849" s="6">
        <v>0</v>
      </c>
      <c r="N849" s="6">
        <v>0</v>
      </c>
      <c r="O849" s="31">
        <v>0</v>
      </c>
      <c r="P849" s="32">
        <f t="shared" si="127"/>
        <v>0</v>
      </c>
      <c r="Q849" s="6">
        <f t="shared" si="128"/>
        <v>2</v>
      </c>
      <c r="R849" s="59">
        <f t="shared" si="129"/>
        <v>1</v>
      </c>
      <c r="S849" s="1"/>
      <c r="T849" s="1"/>
      <c r="U849" s="1"/>
    </row>
    <row r="850" spans="1:21" ht="9.75" customHeight="1" x14ac:dyDescent="0.4">
      <c r="A850" s="1"/>
      <c r="B850" s="1"/>
      <c r="C850" s="17"/>
      <c r="D850" s="17" t="s">
        <v>430</v>
      </c>
      <c r="E850" s="17">
        <v>2</v>
      </c>
      <c r="F850" s="32">
        <v>2</v>
      </c>
      <c r="G850" s="6">
        <v>1</v>
      </c>
      <c r="H850" s="6">
        <v>1</v>
      </c>
      <c r="I850" s="6">
        <v>1</v>
      </c>
      <c r="J850" s="6">
        <v>1</v>
      </c>
      <c r="K850" s="6">
        <v>1</v>
      </c>
      <c r="L850" s="6">
        <v>1</v>
      </c>
      <c r="M850" s="6">
        <v>2</v>
      </c>
      <c r="N850" s="6">
        <v>2</v>
      </c>
      <c r="O850" s="31">
        <v>2</v>
      </c>
      <c r="P850" s="32">
        <f t="shared" si="127"/>
        <v>1</v>
      </c>
      <c r="Q850" s="6">
        <f t="shared" si="128"/>
        <v>1</v>
      </c>
      <c r="R850" s="59">
        <f t="shared" si="129"/>
        <v>0.5</v>
      </c>
      <c r="S850" s="1"/>
      <c r="T850" s="1"/>
      <c r="U850" s="1"/>
    </row>
    <row r="851" spans="1:21" ht="9.75" customHeight="1" x14ac:dyDescent="0.4">
      <c r="A851" s="1"/>
      <c r="B851" s="1"/>
      <c r="C851" s="17"/>
      <c r="D851" s="17" t="s">
        <v>423</v>
      </c>
      <c r="E851" s="17">
        <v>3</v>
      </c>
      <c r="F851" s="32">
        <v>2</v>
      </c>
      <c r="G851" s="6">
        <v>2</v>
      </c>
      <c r="H851" s="6">
        <v>2</v>
      </c>
      <c r="I851" s="6">
        <v>1</v>
      </c>
      <c r="J851" s="6">
        <v>1</v>
      </c>
      <c r="K851" s="6">
        <v>1</v>
      </c>
      <c r="L851" s="6">
        <v>2</v>
      </c>
      <c r="M851" s="6">
        <v>3</v>
      </c>
      <c r="N851" s="6">
        <v>3</v>
      </c>
      <c r="O851" s="31">
        <v>3</v>
      </c>
      <c r="P851" s="32">
        <f t="shared" si="127"/>
        <v>1</v>
      </c>
      <c r="Q851" s="6">
        <f t="shared" si="128"/>
        <v>2</v>
      </c>
      <c r="R851" s="59">
        <f t="shared" si="129"/>
        <v>0.66666666666666663</v>
      </c>
      <c r="S851" s="1"/>
      <c r="T851" s="1"/>
      <c r="U851" s="1"/>
    </row>
    <row r="852" spans="1:21" ht="9.75" customHeight="1" x14ac:dyDescent="0.4">
      <c r="A852" s="1"/>
      <c r="B852" s="1"/>
      <c r="C852" s="17"/>
      <c r="D852" s="17" t="s">
        <v>431</v>
      </c>
      <c r="E852" s="17">
        <v>1</v>
      </c>
      <c r="F852" s="32">
        <v>1</v>
      </c>
      <c r="G852" s="6">
        <v>1</v>
      </c>
      <c r="H852" s="6">
        <v>0</v>
      </c>
      <c r="I852" s="6">
        <v>0</v>
      </c>
      <c r="J852" s="6">
        <v>0</v>
      </c>
      <c r="K852" s="6">
        <v>1</v>
      </c>
      <c r="L852" s="6">
        <v>0</v>
      </c>
      <c r="M852" s="6">
        <v>1</v>
      </c>
      <c r="N852" s="6">
        <v>1</v>
      </c>
      <c r="O852" s="31">
        <v>1</v>
      </c>
      <c r="P852" s="32">
        <f t="shared" si="127"/>
        <v>0</v>
      </c>
      <c r="Q852" s="6">
        <f t="shared" si="128"/>
        <v>1</v>
      </c>
      <c r="R852" s="59">
        <f t="shared" si="129"/>
        <v>1</v>
      </c>
      <c r="S852" s="1"/>
      <c r="T852" s="1"/>
      <c r="U852" s="1"/>
    </row>
    <row r="853" spans="1:21" ht="9.75" customHeight="1" x14ac:dyDescent="0.4">
      <c r="A853" s="1"/>
      <c r="B853" s="1"/>
      <c r="C853" s="17"/>
      <c r="D853" s="17" t="s">
        <v>432</v>
      </c>
      <c r="E853" s="17">
        <v>2</v>
      </c>
      <c r="F853" s="32">
        <v>2</v>
      </c>
      <c r="G853" s="6">
        <v>2</v>
      </c>
      <c r="H853" s="6">
        <v>2</v>
      </c>
      <c r="I853" s="6">
        <v>2</v>
      </c>
      <c r="J853" s="6">
        <v>2</v>
      </c>
      <c r="K853" s="6">
        <v>2</v>
      </c>
      <c r="L853" s="6">
        <v>1</v>
      </c>
      <c r="M853" s="6">
        <v>2</v>
      </c>
      <c r="N853" s="6">
        <v>2</v>
      </c>
      <c r="O853" s="31">
        <v>2</v>
      </c>
      <c r="P853" s="32">
        <f t="shared" si="127"/>
        <v>1</v>
      </c>
      <c r="Q853" s="6">
        <f t="shared" si="128"/>
        <v>1</v>
      </c>
      <c r="R853" s="59">
        <f t="shared" si="129"/>
        <v>0.5</v>
      </c>
      <c r="S853" s="1"/>
      <c r="T853" s="1"/>
      <c r="U853" s="1"/>
    </row>
    <row r="854" spans="1:21" ht="9.75" customHeight="1" x14ac:dyDescent="0.4">
      <c r="A854" s="1"/>
      <c r="B854" s="1"/>
      <c r="C854" s="17"/>
      <c r="D854" s="17" t="s">
        <v>433</v>
      </c>
      <c r="E854" s="17">
        <v>11</v>
      </c>
      <c r="F854" s="32">
        <v>8</v>
      </c>
      <c r="G854" s="6">
        <v>2</v>
      </c>
      <c r="H854" s="6">
        <v>0</v>
      </c>
      <c r="I854" s="6">
        <v>0</v>
      </c>
      <c r="J854" s="6">
        <v>0</v>
      </c>
      <c r="K854" s="6">
        <v>4</v>
      </c>
      <c r="L854" s="6">
        <v>3</v>
      </c>
      <c r="M854" s="6">
        <v>2</v>
      </c>
      <c r="N854" s="6">
        <v>5</v>
      </c>
      <c r="O854" s="31">
        <v>7</v>
      </c>
      <c r="P854" s="32">
        <f t="shared" si="127"/>
        <v>0</v>
      </c>
      <c r="Q854" s="6">
        <f t="shared" si="128"/>
        <v>11</v>
      </c>
      <c r="R854" s="59">
        <f t="shared" si="129"/>
        <v>1</v>
      </c>
      <c r="S854" s="1"/>
      <c r="T854" s="1"/>
      <c r="U854" s="1"/>
    </row>
    <row r="855" spans="1:21" ht="9.75" customHeight="1" x14ac:dyDescent="0.4">
      <c r="A855" s="1"/>
      <c r="B855" s="1"/>
      <c r="C855" s="17"/>
      <c r="D855" s="17" t="s">
        <v>310</v>
      </c>
      <c r="E855" s="17">
        <v>6</v>
      </c>
      <c r="F855" s="32">
        <v>4</v>
      </c>
      <c r="G855" s="6">
        <v>4</v>
      </c>
      <c r="H855" s="6">
        <v>3</v>
      </c>
      <c r="I855" s="6">
        <v>2</v>
      </c>
      <c r="J855" s="6">
        <v>3</v>
      </c>
      <c r="K855" s="6">
        <v>3</v>
      </c>
      <c r="L855" s="6">
        <v>4</v>
      </c>
      <c r="M855" s="6">
        <v>6</v>
      </c>
      <c r="N855" s="6">
        <v>6</v>
      </c>
      <c r="O855" s="31">
        <v>6</v>
      </c>
      <c r="P855" s="32">
        <f t="shared" si="127"/>
        <v>2</v>
      </c>
      <c r="Q855" s="6">
        <f t="shared" si="128"/>
        <v>4</v>
      </c>
      <c r="R855" s="59">
        <f t="shared" si="129"/>
        <v>0.66666666666666663</v>
      </c>
      <c r="S855" s="1"/>
      <c r="T855" s="1"/>
      <c r="U855" s="1"/>
    </row>
    <row r="856" spans="1:21" ht="9.75" customHeight="1" x14ac:dyDescent="0.4">
      <c r="A856" s="1"/>
      <c r="B856" s="1"/>
      <c r="C856" s="17"/>
      <c r="D856" s="17" t="s">
        <v>311</v>
      </c>
      <c r="E856" s="17">
        <v>7</v>
      </c>
      <c r="F856" s="32">
        <v>5</v>
      </c>
      <c r="G856" s="6">
        <v>5</v>
      </c>
      <c r="H856" s="6">
        <v>3</v>
      </c>
      <c r="I856" s="6">
        <v>3</v>
      </c>
      <c r="J856" s="6">
        <v>3</v>
      </c>
      <c r="K856" s="6">
        <v>3</v>
      </c>
      <c r="L856" s="6">
        <v>3</v>
      </c>
      <c r="M856" s="6">
        <v>5</v>
      </c>
      <c r="N856" s="6">
        <v>5</v>
      </c>
      <c r="O856" s="31">
        <v>5</v>
      </c>
      <c r="P856" s="32">
        <f t="shared" si="127"/>
        <v>3</v>
      </c>
      <c r="Q856" s="6">
        <f t="shared" si="128"/>
        <v>4</v>
      </c>
      <c r="R856" s="59">
        <f t="shared" si="129"/>
        <v>0.5714285714285714</v>
      </c>
      <c r="S856" s="1"/>
      <c r="T856" s="1"/>
      <c r="U856" s="1"/>
    </row>
    <row r="857" spans="1:21" ht="9.75" customHeight="1" x14ac:dyDescent="0.4">
      <c r="A857" s="1"/>
      <c r="B857" s="1"/>
      <c r="C857" s="17"/>
      <c r="D857" s="17" t="s">
        <v>312</v>
      </c>
      <c r="E857" s="17"/>
      <c r="F857" s="1"/>
      <c r="G857" s="6"/>
      <c r="H857" s="6"/>
      <c r="I857" s="6"/>
      <c r="J857" s="6"/>
      <c r="K857" s="6"/>
      <c r="L857" s="6"/>
      <c r="M857" s="6"/>
      <c r="N857" s="6"/>
      <c r="O857" s="31"/>
      <c r="P857" s="32"/>
      <c r="Q857" s="6"/>
      <c r="R857" s="59"/>
      <c r="S857" s="1"/>
      <c r="T857" s="1"/>
      <c r="U857" s="1"/>
    </row>
    <row r="858" spans="1:21" ht="9.75" customHeight="1" x14ac:dyDescent="0.4">
      <c r="A858" s="1"/>
      <c r="B858" s="1"/>
      <c r="C858" s="17"/>
      <c r="D858" s="17" t="s">
        <v>313</v>
      </c>
      <c r="E858" s="17">
        <v>1</v>
      </c>
      <c r="F858" s="32">
        <v>1</v>
      </c>
      <c r="G858" s="6">
        <v>1</v>
      </c>
      <c r="H858" s="6">
        <v>1</v>
      </c>
      <c r="I858" s="6">
        <v>0</v>
      </c>
      <c r="J858" s="6">
        <v>0</v>
      </c>
      <c r="K858" s="6">
        <v>0</v>
      </c>
      <c r="L858" s="6">
        <v>1</v>
      </c>
      <c r="M858" s="6">
        <v>1</v>
      </c>
      <c r="N858" s="6">
        <v>1</v>
      </c>
      <c r="O858" s="31">
        <v>1</v>
      </c>
      <c r="P858" s="32">
        <f t="shared" ref="P858:P859" si="130">MIN(F858:O858)</f>
        <v>0</v>
      </c>
      <c r="Q858" s="6">
        <f t="shared" ref="Q858:Q859" si="131">E858-P858</f>
        <v>1</v>
      </c>
      <c r="R858" s="59">
        <f t="shared" ref="R858:R859" si="132">Q858/E858</f>
        <v>1</v>
      </c>
      <c r="S858" s="1"/>
      <c r="T858" s="1"/>
      <c r="U858" s="1"/>
    </row>
    <row r="859" spans="1:21" ht="9.75" customHeight="1" x14ac:dyDescent="0.4">
      <c r="A859" s="1"/>
      <c r="B859" s="1" t="s">
        <v>395</v>
      </c>
      <c r="C859" s="34"/>
      <c r="D859" s="65" t="s">
        <v>314</v>
      </c>
      <c r="E859" s="65">
        <f t="shared" ref="E859:O859" si="133">SUM(E843:E858)</f>
        <v>131</v>
      </c>
      <c r="F859" s="104">
        <f t="shared" si="133"/>
        <v>67</v>
      </c>
      <c r="G859" s="128">
        <f t="shared" si="133"/>
        <v>48</v>
      </c>
      <c r="H859" s="128">
        <f t="shared" si="133"/>
        <v>37</v>
      </c>
      <c r="I859" s="128">
        <f t="shared" si="133"/>
        <v>36</v>
      </c>
      <c r="J859" s="128">
        <f t="shared" si="133"/>
        <v>31</v>
      </c>
      <c r="K859" s="128">
        <f t="shared" si="133"/>
        <v>42</v>
      </c>
      <c r="L859" s="128">
        <f t="shared" si="133"/>
        <v>50</v>
      </c>
      <c r="M859" s="128">
        <f t="shared" si="133"/>
        <v>75</v>
      </c>
      <c r="N859" s="128">
        <f t="shared" si="133"/>
        <v>100</v>
      </c>
      <c r="O859" s="129">
        <f t="shared" si="133"/>
        <v>108</v>
      </c>
      <c r="P859" s="104">
        <f t="shared" si="130"/>
        <v>31</v>
      </c>
      <c r="Q859" s="128">
        <f t="shared" si="131"/>
        <v>100</v>
      </c>
      <c r="R859" s="72">
        <f t="shared" si="132"/>
        <v>0.76335877862595425</v>
      </c>
      <c r="S859" s="1"/>
      <c r="T859" s="1"/>
      <c r="U859" s="1"/>
    </row>
    <row r="860" spans="1:21" ht="9.75" customHeight="1" x14ac:dyDescent="0.4">
      <c r="A860" s="1"/>
      <c r="B860" s="1"/>
      <c r="C860" s="15" t="s">
        <v>77</v>
      </c>
      <c r="D860" s="15" t="s">
        <v>300</v>
      </c>
      <c r="E860" s="15"/>
      <c r="F860" s="73"/>
      <c r="G860" s="108"/>
      <c r="H860" s="108"/>
      <c r="I860" s="108"/>
      <c r="J860" s="108"/>
      <c r="K860" s="108"/>
      <c r="L860" s="108"/>
      <c r="M860" s="108"/>
      <c r="N860" s="108"/>
      <c r="O860" s="109"/>
      <c r="P860" s="73"/>
      <c r="Q860" s="108"/>
      <c r="R860" s="188"/>
      <c r="S860" s="1"/>
      <c r="T860" s="1"/>
      <c r="U860" s="1"/>
    </row>
    <row r="861" spans="1:21" ht="9.75" customHeight="1" x14ac:dyDescent="0.4">
      <c r="A861" s="1"/>
      <c r="B861" s="1"/>
      <c r="C861" s="17"/>
      <c r="D861" s="17" t="s">
        <v>301</v>
      </c>
      <c r="E861" s="17">
        <v>275</v>
      </c>
      <c r="F861" s="32">
        <v>196</v>
      </c>
      <c r="G861" s="6">
        <v>199</v>
      </c>
      <c r="H861" s="6">
        <v>195</v>
      </c>
      <c r="I861" s="6">
        <v>197</v>
      </c>
      <c r="J861" s="6">
        <v>212</v>
      </c>
      <c r="K861" s="6">
        <v>218</v>
      </c>
      <c r="L861" s="6">
        <v>231</v>
      </c>
      <c r="M861" s="6">
        <v>235</v>
      </c>
      <c r="N861" s="6">
        <v>240</v>
      </c>
      <c r="O861" s="31">
        <v>259</v>
      </c>
      <c r="P861" s="32">
        <f t="shared" ref="P861:P863" si="134">MIN(F861:O861)</f>
        <v>195</v>
      </c>
      <c r="Q861" s="6">
        <f t="shared" ref="Q861:Q863" si="135">E861-P861</f>
        <v>80</v>
      </c>
      <c r="R861" s="59">
        <f t="shared" ref="R861:R863" si="136">Q861/E861</f>
        <v>0.29090909090909089</v>
      </c>
      <c r="S861" s="1"/>
      <c r="T861" s="1"/>
      <c r="U861" s="1"/>
    </row>
    <row r="862" spans="1:21" ht="9.75" customHeight="1" x14ac:dyDescent="0.4">
      <c r="A862" s="1"/>
      <c r="B862" s="1"/>
      <c r="C862" s="17"/>
      <c r="D862" s="17" t="s">
        <v>303</v>
      </c>
      <c r="E862" s="17">
        <v>4</v>
      </c>
      <c r="F862" s="32">
        <v>3</v>
      </c>
      <c r="G862" s="6">
        <v>3</v>
      </c>
      <c r="H862" s="6">
        <v>3</v>
      </c>
      <c r="I862" s="6">
        <v>3</v>
      </c>
      <c r="J862" s="6">
        <v>3</v>
      </c>
      <c r="K862" s="6">
        <v>3</v>
      </c>
      <c r="L862" s="6">
        <v>3</v>
      </c>
      <c r="M862" s="6">
        <v>4</v>
      </c>
      <c r="N862" s="6">
        <v>4</v>
      </c>
      <c r="O862" s="31">
        <v>4</v>
      </c>
      <c r="P862" s="32">
        <f t="shared" si="134"/>
        <v>3</v>
      </c>
      <c r="Q862" s="6">
        <f t="shared" si="135"/>
        <v>1</v>
      </c>
      <c r="R862" s="59">
        <f t="shared" si="136"/>
        <v>0.25</v>
      </c>
      <c r="S862" s="1"/>
      <c r="T862" s="1"/>
      <c r="U862" s="1"/>
    </row>
    <row r="863" spans="1:21" ht="9.75" customHeight="1" x14ac:dyDescent="0.4">
      <c r="A863" s="1"/>
      <c r="B863" s="1"/>
      <c r="C863" s="17"/>
      <c r="D863" s="17" t="s">
        <v>434</v>
      </c>
      <c r="E863" s="17">
        <v>9</v>
      </c>
      <c r="F863" s="32">
        <v>2</v>
      </c>
      <c r="G863" s="6">
        <v>0</v>
      </c>
      <c r="H863" s="6">
        <v>0</v>
      </c>
      <c r="I863" s="6">
        <v>2</v>
      </c>
      <c r="J863" s="6">
        <v>2</v>
      </c>
      <c r="K863" s="6">
        <v>0</v>
      </c>
      <c r="L863" s="6">
        <v>3</v>
      </c>
      <c r="M863" s="6">
        <v>4</v>
      </c>
      <c r="N863" s="6">
        <v>6</v>
      </c>
      <c r="O863" s="31">
        <v>7</v>
      </c>
      <c r="P863" s="32">
        <f t="shared" si="134"/>
        <v>0</v>
      </c>
      <c r="Q863" s="6">
        <f t="shared" si="135"/>
        <v>9</v>
      </c>
      <c r="R863" s="59">
        <f t="shared" si="136"/>
        <v>1</v>
      </c>
      <c r="S863" s="1"/>
      <c r="T863" s="1"/>
      <c r="U863" s="1"/>
    </row>
    <row r="864" spans="1:21" ht="9.75" customHeight="1" x14ac:dyDescent="0.4">
      <c r="A864" s="1"/>
      <c r="B864" s="1"/>
      <c r="C864" s="17"/>
      <c r="D864" s="17" t="s">
        <v>369</v>
      </c>
      <c r="E864" s="17"/>
      <c r="F864" s="32"/>
      <c r="G864" s="6"/>
      <c r="H864" s="6"/>
      <c r="I864" s="6"/>
      <c r="J864" s="6"/>
      <c r="K864" s="6"/>
      <c r="L864" s="6"/>
      <c r="M864" s="6"/>
      <c r="N864" s="6"/>
      <c r="O864" s="31"/>
      <c r="P864" s="32"/>
      <c r="Q864" s="6"/>
      <c r="R864" s="59"/>
      <c r="S864" s="1"/>
      <c r="T864" s="1"/>
      <c r="U864" s="1"/>
    </row>
    <row r="865" spans="1:21" ht="9.75" customHeight="1" x14ac:dyDescent="0.4">
      <c r="A865" s="1"/>
      <c r="B865" s="1"/>
      <c r="C865" s="17"/>
      <c r="D865" s="17" t="s">
        <v>308</v>
      </c>
      <c r="E865" s="17">
        <v>2</v>
      </c>
      <c r="F865" s="32">
        <v>1</v>
      </c>
      <c r="G865" s="6">
        <v>1</v>
      </c>
      <c r="H865" s="6">
        <v>1</v>
      </c>
      <c r="I865" s="6">
        <v>0</v>
      </c>
      <c r="J865" s="6">
        <v>0</v>
      </c>
      <c r="K865" s="6">
        <v>2</v>
      </c>
      <c r="L865" s="6">
        <v>1</v>
      </c>
      <c r="M865" s="6">
        <v>2</v>
      </c>
      <c r="N865" s="6">
        <v>2</v>
      </c>
      <c r="O865" s="31">
        <v>2</v>
      </c>
      <c r="P865" s="32">
        <f t="shared" ref="P865:P868" si="137">MIN(F865:O865)</f>
        <v>0</v>
      </c>
      <c r="Q865" s="6">
        <f t="shared" ref="Q865:Q868" si="138">E865-P865</f>
        <v>2</v>
      </c>
      <c r="R865" s="59">
        <f t="shared" ref="R865:R868" si="139">Q865/E865</f>
        <v>1</v>
      </c>
      <c r="S865" s="1"/>
      <c r="T865" s="1"/>
      <c r="U865" s="1"/>
    </row>
    <row r="866" spans="1:21" ht="9.75" customHeight="1" x14ac:dyDescent="0.4">
      <c r="A866" s="1"/>
      <c r="B866" s="1"/>
      <c r="C866" s="17"/>
      <c r="D866" s="17" t="s">
        <v>429</v>
      </c>
      <c r="E866" s="17">
        <v>6</v>
      </c>
      <c r="F866" s="32">
        <v>6</v>
      </c>
      <c r="G866" s="6">
        <v>6</v>
      </c>
      <c r="H866" s="6">
        <v>5</v>
      </c>
      <c r="I866" s="6">
        <v>4</v>
      </c>
      <c r="J866" s="6">
        <v>1</v>
      </c>
      <c r="K866" s="6">
        <v>1</v>
      </c>
      <c r="L866" s="6">
        <v>3</v>
      </c>
      <c r="M866" s="6">
        <v>6</v>
      </c>
      <c r="N866" s="6">
        <v>6</v>
      </c>
      <c r="O866" s="31">
        <v>6</v>
      </c>
      <c r="P866" s="32">
        <f t="shared" si="137"/>
        <v>1</v>
      </c>
      <c r="Q866" s="6">
        <f t="shared" si="138"/>
        <v>5</v>
      </c>
      <c r="R866" s="59">
        <f t="shared" si="139"/>
        <v>0.83333333333333337</v>
      </c>
      <c r="S866" s="1"/>
      <c r="T866" s="1"/>
      <c r="U866" s="1"/>
    </row>
    <row r="867" spans="1:21" ht="9.75" customHeight="1" x14ac:dyDescent="0.4">
      <c r="A867" s="1"/>
      <c r="B867" s="1"/>
      <c r="C867" s="17"/>
      <c r="D867" s="17" t="s">
        <v>431</v>
      </c>
      <c r="E867" s="17">
        <v>1</v>
      </c>
      <c r="F867" s="32">
        <v>1</v>
      </c>
      <c r="G867" s="6">
        <v>0</v>
      </c>
      <c r="H867" s="6">
        <v>1</v>
      </c>
      <c r="I867" s="6">
        <v>0</v>
      </c>
      <c r="J867" s="6">
        <v>1</v>
      </c>
      <c r="K867" s="6">
        <v>1</v>
      </c>
      <c r="L867" s="6">
        <v>1</v>
      </c>
      <c r="M867" s="6">
        <v>1</v>
      </c>
      <c r="N867" s="6">
        <v>1</v>
      </c>
      <c r="O867" s="31">
        <v>1</v>
      </c>
      <c r="P867" s="32">
        <f t="shared" si="137"/>
        <v>0</v>
      </c>
      <c r="Q867" s="6">
        <f t="shared" si="138"/>
        <v>1</v>
      </c>
      <c r="R867" s="59">
        <f t="shared" si="139"/>
        <v>1</v>
      </c>
      <c r="S867" s="1"/>
      <c r="T867" s="1"/>
      <c r="U867" s="1"/>
    </row>
    <row r="868" spans="1:21" ht="9.75" customHeight="1" x14ac:dyDescent="0.4">
      <c r="A868" s="1"/>
      <c r="B868" s="1"/>
      <c r="C868" s="17"/>
      <c r="D868" s="17" t="s">
        <v>372</v>
      </c>
      <c r="E868" s="32">
        <v>10</v>
      </c>
      <c r="F868" s="32">
        <v>3</v>
      </c>
      <c r="G868" s="6">
        <v>2</v>
      </c>
      <c r="H868" s="6">
        <v>0</v>
      </c>
      <c r="I868" s="6">
        <v>1</v>
      </c>
      <c r="J868" s="6">
        <v>4</v>
      </c>
      <c r="K868" s="6">
        <v>3</v>
      </c>
      <c r="L868" s="6">
        <v>5</v>
      </c>
      <c r="M868" s="6">
        <v>7</v>
      </c>
      <c r="N868" s="6">
        <v>7</v>
      </c>
      <c r="O868" s="6">
        <v>8</v>
      </c>
      <c r="P868" s="32">
        <f t="shared" si="137"/>
        <v>0</v>
      </c>
      <c r="Q868" s="6">
        <f t="shared" si="138"/>
        <v>10</v>
      </c>
      <c r="R868" s="59">
        <f t="shared" si="139"/>
        <v>1</v>
      </c>
      <c r="S868" s="1"/>
      <c r="T868" s="1"/>
      <c r="U868" s="1"/>
    </row>
    <row r="869" spans="1:21" ht="9.75" customHeight="1" x14ac:dyDescent="0.4">
      <c r="A869" s="1"/>
      <c r="B869" s="1"/>
      <c r="C869" s="17"/>
      <c r="D869" s="17" t="s">
        <v>374</v>
      </c>
      <c r="E869" s="17"/>
      <c r="F869" s="32"/>
      <c r="G869" s="6"/>
      <c r="H869" s="6"/>
      <c r="I869" s="6"/>
      <c r="J869" s="6"/>
      <c r="K869" s="6"/>
      <c r="L869" s="6"/>
      <c r="M869" s="6"/>
      <c r="N869" s="6"/>
      <c r="O869" s="31"/>
      <c r="P869" s="32"/>
      <c r="Q869" s="6"/>
      <c r="R869" s="59"/>
      <c r="S869" s="1"/>
      <c r="T869" s="1"/>
      <c r="U869" s="1"/>
    </row>
    <row r="870" spans="1:21" ht="9.75" customHeight="1" x14ac:dyDescent="0.4">
      <c r="A870" s="1"/>
      <c r="B870" s="1"/>
      <c r="C870" s="17"/>
      <c r="D870" s="17" t="s">
        <v>374</v>
      </c>
      <c r="E870" s="17"/>
      <c r="F870" s="32"/>
      <c r="G870" s="6"/>
      <c r="H870" s="6"/>
      <c r="I870" s="6"/>
      <c r="J870" s="6"/>
      <c r="K870" s="6"/>
      <c r="L870" s="6"/>
      <c r="M870" s="6"/>
      <c r="N870" s="6"/>
      <c r="O870" s="31"/>
      <c r="P870" s="32"/>
      <c r="Q870" s="6"/>
      <c r="R870" s="59"/>
      <c r="S870" s="1"/>
      <c r="T870" s="1"/>
      <c r="U870" s="1"/>
    </row>
    <row r="871" spans="1:21" ht="9.75" customHeight="1" x14ac:dyDescent="0.4">
      <c r="A871" s="1"/>
      <c r="B871" s="1"/>
      <c r="C871" s="17"/>
      <c r="D871" s="17" t="s">
        <v>374</v>
      </c>
      <c r="E871" s="17"/>
      <c r="F871" s="32"/>
      <c r="G871" s="6"/>
      <c r="H871" s="6"/>
      <c r="I871" s="6"/>
      <c r="J871" s="6"/>
      <c r="K871" s="6"/>
      <c r="L871" s="6"/>
      <c r="M871" s="6"/>
      <c r="N871" s="6"/>
      <c r="O871" s="31"/>
      <c r="P871" s="32"/>
      <c r="Q871" s="6"/>
      <c r="R871" s="59"/>
      <c r="S871" s="1"/>
      <c r="T871" s="1"/>
      <c r="U871" s="1"/>
    </row>
    <row r="872" spans="1:21" ht="9.75" customHeight="1" x14ac:dyDescent="0.4">
      <c r="A872" s="1"/>
      <c r="B872" s="1"/>
      <c r="C872" s="17"/>
      <c r="D872" s="17" t="s">
        <v>310</v>
      </c>
      <c r="E872" s="17">
        <v>4</v>
      </c>
      <c r="F872" s="32">
        <v>2</v>
      </c>
      <c r="G872" s="6">
        <v>2</v>
      </c>
      <c r="H872" s="6">
        <v>1</v>
      </c>
      <c r="I872" s="6">
        <v>1</v>
      </c>
      <c r="J872" s="6">
        <v>1</v>
      </c>
      <c r="K872" s="6">
        <v>0</v>
      </c>
      <c r="L872" s="6">
        <v>0</v>
      </c>
      <c r="M872" s="6">
        <v>4</v>
      </c>
      <c r="N872" s="6">
        <v>4</v>
      </c>
      <c r="O872" s="31">
        <v>4</v>
      </c>
      <c r="P872" s="32">
        <f>MIN(F872:O872)</f>
        <v>0</v>
      </c>
      <c r="Q872" s="6">
        <f>E872-P872</f>
        <v>4</v>
      </c>
      <c r="R872" s="59">
        <f>Q872/E872</f>
        <v>1</v>
      </c>
      <c r="S872" s="1"/>
      <c r="T872" s="1"/>
      <c r="U872" s="1"/>
    </row>
    <row r="873" spans="1:21" ht="9.75" customHeight="1" x14ac:dyDescent="0.4">
      <c r="A873" s="1"/>
      <c r="B873" s="1"/>
      <c r="C873" s="17"/>
      <c r="D873" s="17" t="s">
        <v>311</v>
      </c>
      <c r="E873" s="17"/>
      <c r="F873" s="32"/>
      <c r="G873" s="6"/>
      <c r="H873" s="6"/>
      <c r="I873" s="6"/>
      <c r="J873" s="6"/>
      <c r="K873" s="6"/>
      <c r="L873" s="6"/>
      <c r="M873" s="6"/>
      <c r="N873" s="6"/>
      <c r="O873" s="31"/>
      <c r="P873" s="32"/>
      <c r="Q873" s="6"/>
      <c r="R873" s="59"/>
      <c r="S873" s="1"/>
      <c r="T873" s="1"/>
      <c r="U873" s="1"/>
    </row>
    <row r="874" spans="1:21" ht="9.75" customHeight="1" x14ac:dyDescent="0.4">
      <c r="A874" s="1"/>
      <c r="B874" s="1"/>
      <c r="C874" s="17"/>
      <c r="D874" s="17" t="s">
        <v>312</v>
      </c>
      <c r="E874" s="17"/>
      <c r="F874" s="32"/>
      <c r="G874" s="6"/>
      <c r="H874" s="6"/>
      <c r="I874" s="6"/>
      <c r="J874" s="6"/>
      <c r="K874" s="6"/>
      <c r="L874" s="6"/>
      <c r="M874" s="6"/>
      <c r="N874" s="6"/>
      <c r="O874" s="31"/>
      <c r="P874" s="32"/>
      <c r="Q874" s="6"/>
      <c r="R874" s="59"/>
      <c r="S874" s="1"/>
      <c r="T874" s="1"/>
      <c r="U874" s="1"/>
    </row>
    <row r="875" spans="1:21" ht="9.75" customHeight="1" x14ac:dyDescent="0.4">
      <c r="A875" s="1"/>
      <c r="B875" s="1"/>
      <c r="C875" s="17"/>
      <c r="D875" s="17" t="s">
        <v>313</v>
      </c>
      <c r="E875" s="17"/>
      <c r="F875" s="32"/>
      <c r="G875" s="6"/>
      <c r="H875" s="6"/>
      <c r="I875" s="6"/>
      <c r="J875" s="6"/>
      <c r="K875" s="6"/>
      <c r="L875" s="6"/>
      <c r="M875" s="6"/>
      <c r="N875" s="6"/>
      <c r="O875" s="31"/>
      <c r="P875" s="32"/>
      <c r="Q875" s="6"/>
      <c r="R875" s="59"/>
      <c r="S875" s="1"/>
      <c r="T875" s="1"/>
      <c r="U875" s="1"/>
    </row>
    <row r="876" spans="1:21" ht="9.75" customHeight="1" x14ac:dyDescent="0.4">
      <c r="A876" s="1"/>
      <c r="B876" s="1" t="s">
        <v>395</v>
      </c>
      <c r="C876" s="34"/>
      <c r="D876" s="65" t="s">
        <v>314</v>
      </c>
      <c r="E876" s="65">
        <f t="shared" ref="E876:O876" si="140">SUM(E860:E875)</f>
        <v>311</v>
      </c>
      <c r="F876" s="104">
        <f t="shared" si="140"/>
        <v>214</v>
      </c>
      <c r="G876" s="128">
        <f t="shared" si="140"/>
        <v>213</v>
      </c>
      <c r="H876" s="128">
        <f t="shared" si="140"/>
        <v>206</v>
      </c>
      <c r="I876" s="128">
        <f t="shared" si="140"/>
        <v>208</v>
      </c>
      <c r="J876" s="128">
        <f t="shared" si="140"/>
        <v>224</v>
      </c>
      <c r="K876" s="128">
        <f t="shared" si="140"/>
        <v>228</v>
      </c>
      <c r="L876" s="128">
        <f t="shared" si="140"/>
        <v>247</v>
      </c>
      <c r="M876" s="128">
        <f t="shared" si="140"/>
        <v>263</v>
      </c>
      <c r="N876" s="128">
        <f t="shared" si="140"/>
        <v>270</v>
      </c>
      <c r="O876" s="129">
        <f t="shared" si="140"/>
        <v>291</v>
      </c>
      <c r="P876" s="104">
        <f>MIN(F876:O876)</f>
        <v>206</v>
      </c>
      <c r="Q876" s="128">
        <f>E876-P876</f>
        <v>105</v>
      </c>
      <c r="R876" s="72">
        <f>Q876/E876</f>
        <v>0.33762057877813506</v>
      </c>
      <c r="S876" s="1"/>
      <c r="T876" s="1"/>
      <c r="U876" s="1"/>
    </row>
    <row r="877" spans="1:21" ht="9.75" customHeight="1" x14ac:dyDescent="0.4">
      <c r="A877" s="1"/>
      <c r="B877" s="1"/>
      <c r="C877" s="15" t="s">
        <v>97</v>
      </c>
      <c r="D877" s="15" t="s">
        <v>300</v>
      </c>
      <c r="E877" s="15"/>
      <c r="F877" s="73"/>
      <c r="G877" s="108"/>
      <c r="H877" s="108"/>
      <c r="I877" s="108"/>
      <c r="J877" s="108"/>
      <c r="K877" s="108"/>
      <c r="L877" s="108"/>
      <c r="M877" s="108"/>
      <c r="N877" s="108"/>
      <c r="O877" s="109"/>
      <c r="P877" s="73"/>
      <c r="Q877" s="108"/>
      <c r="R877" s="188"/>
      <c r="S877" s="1"/>
      <c r="T877" s="1"/>
      <c r="U877" s="1"/>
    </row>
    <row r="878" spans="1:21" ht="9.75" customHeight="1" x14ac:dyDescent="0.4">
      <c r="A878" s="1"/>
      <c r="B878" s="1"/>
      <c r="C878" s="17"/>
      <c r="D878" s="17" t="s">
        <v>301</v>
      </c>
      <c r="E878" s="17"/>
      <c r="F878" s="32"/>
      <c r="G878" s="6"/>
      <c r="H878" s="6"/>
      <c r="I878" s="6"/>
      <c r="J878" s="6"/>
      <c r="K878" s="6"/>
      <c r="L878" s="6"/>
      <c r="M878" s="6"/>
      <c r="N878" s="6"/>
      <c r="O878" s="31"/>
      <c r="P878" s="32"/>
      <c r="Q878" s="6"/>
      <c r="R878" s="59"/>
      <c r="S878" s="1"/>
      <c r="T878" s="1"/>
      <c r="U878" s="1"/>
    </row>
    <row r="879" spans="1:21" ht="9.75" customHeight="1" x14ac:dyDescent="0.4">
      <c r="A879" s="1"/>
      <c r="B879" s="1"/>
      <c r="C879" s="17"/>
      <c r="D879" s="17" t="s">
        <v>303</v>
      </c>
      <c r="E879" s="17"/>
      <c r="F879" s="32"/>
      <c r="G879" s="6"/>
      <c r="H879" s="6"/>
      <c r="I879" s="6"/>
      <c r="J879" s="6"/>
      <c r="K879" s="6"/>
      <c r="L879" s="6"/>
      <c r="M879" s="6"/>
      <c r="N879" s="6"/>
      <c r="O879" s="31"/>
      <c r="P879" s="32"/>
      <c r="Q879" s="6"/>
      <c r="R879" s="59"/>
      <c r="S879" s="1"/>
      <c r="T879" s="1"/>
      <c r="U879" s="1"/>
    </row>
    <row r="880" spans="1:21" ht="9.75" customHeight="1" x14ac:dyDescent="0.4">
      <c r="A880" s="1"/>
      <c r="B880" s="1"/>
      <c r="C880" s="17"/>
      <c r="D880" s="17" t="s">
        <v>434</v>
      </c>
      <c r="E880" s="17">
        <v>8</v>
      </c>
      <c r="F880" s="32">
        <v>0</v>
      </c>
      <c r="G880" s="6">
        <v>0</v>
      </c>
      <c r="H880" s="6">
        <v>0</v>
      </c>
      <c r="I880" s="6">
        <v>0</v>
      </c>
      <c r="J880" s="6">
        <v>3</v>
      </c>
      <c r="K880" s="6">
        <v>1</v>
      </c>
      <c r="L880" s="6">
        <v>0</v>
      </c>
      <c r="M880" s="6">
        <v>3</v>
      </c>
      <c r="N880" s="6">
        <v>4</v>
      </c>
      <c r="O880" s="31">
        <v>7</v>
      </c>
      <c r="P880" s="32">
        <f>MIN(F880:O880)</f>
        <v>0</v>
      </c>
      <c r="Q880" s="6">
        <f>E880-P880</f>
        <v>8</v>
      </c>
      <c r="R880" s="59">
        <f>Q880/E880</f>
        <v>1</v>
      </c>
      <c r="S880" s="1"/>
      <c r="T880" s="1"/>
      <c r="U880" s="1"/>
    </row>
    <row r="881" spans="1:21" ht="9.75" customHeight="1" x14ac:dyDescent="0.4">
      <c r="A881" s="1"/>
      <c r="B881" s="1"/>
      <c r="C881" s="17"/>
      <c r="D881" s="17" t="s">
        <v>369</v>
      </c>
      <c r="E881" s="17"/>
      <c r="F881" s="32"/>
      <c r="G881" s="6"/>
      <c r="H881" s="6"/>
      <c r="I881" s="6"/>
      <c r="J881" s="6"/>
      <c r="K881" s="6"/>
      <c r="L881" s="6"/>
      <c r="M881" s="6"/>
      <c r="N881" s="6"/>
      <c r="O881" s="31"/>
      <c r="P881" s="32"/>
      <c r="Q881" s="6"/>
      <c r="R881" s="59"/>
      <c r="S881" s="1"/>
      <c r="T881" s="1"/>
      <c r="U881" s="1"/>
    </row>
    <row r="882" spans="1:21" ht="9.75" customHeight="1" x14ac:dyDescent="0.4">
      <c r="A882" s="1"/>
      <c r="B882" s="1"/>
      <c r="C882" s="17"/>
      <c r="D882" s="17" t="s">
        <v>308</v>
      </c>
      <c r="E882" s="17"/>
      <c r="F882" s="32"/>
      <c r="G882" s="6"/>
      <c r="H882" s="6"/>
      <c r="I882" s="6"/>
      <c r="J882" s="6"/>
      <c r="K882" s="6"/>
      <c r="L882" s="6"/>
      <c r="M882" s="6"/>
      <c r="N882" s="6"/>
      <c r="O882" s="31"/>
      <c r="P882" s="32"/>
      <c r="Q882" s="6"/>
      <c r="R882" s="59"/>
      <c r="S882" s="1"/>
      <c r="T882" s="1"/>
      <c r="U882" s="1"/>
    </row>
    <row r="883" spans="1:21" ht="9.75" customHeight="1" x14ac:dyDescent="0.4">
      <c r="A883" s="1"/>
      <c r="B883" s="1"/>
      <c r="C883" s="17"/>
      <c r="D883" s="17" t="s">
        <v>374</v>
      </c>
      <c r="E883" s="17"/>
      <c r="F883" s="32"/>
      <c r="G883" s="6"/>
      <c r="H883" s="6"/>
      <c r="I883" s="6"/>
      <c r="J883" s="6"/>
      <c r="K883" s="6"/>
      <c r="L883" s="6"/>
      <c r="M883" s="6"/>
      <c r="N883" s="6"/>
      <c r="O883" s="31"/>
      <c r="P883" s="32"/>
      <c r="Q883" s="6"/>
      <c r="R883" s="59"/>
      <c r="S883" s="1"/>
      <c r="T883" s="1"/>
      <c r="U883" s="1"/>
    </row>
    <row r="884" spans="1:21" ht="9.75" customHeight="1" x14ac:dyDescent="0.4">
      <c r="A884" s="1"/>
      <c r="B884" s="1"/>
      <c r="C884" s="17"/>
      <c r="D884" s="17" t="s">
        <v>374</v>
      </c>
      <c r="E884" s="17"/>
      <c r="F884" s="32"/>
      <c r="G884" s="6"/>
      <c r="H884" s="6"/>
      <c r="I884" s="6"/>
      <c r="J884" s="6"/>
      <c r="K884" s="6"/>
      <c r="L884" s="6"/>
      <c r="M884" s="6"/>
      <c r="N884" s="6"/>
      <c r="O884" s="31"/>
      <c r="P884" s="32"/>
      <c r="Q884" s="6"/>
      <c r="R884" s="59"/>
      <c r="S884" s="1"/>
      <c r="T884" s="1"/>
      <c r="U884" s="1"/>
    </row>
    <row r="885" spans="1:21" ht="9.75" customHeight="1" x14ac:dyDescent="0.4">
      <c r="A885" s="1"/>
      <c r="B885" s="1"/>
      <c r="C885" s="17"/>
      <c r="D885" s="17" t="s">
        <v>374</v>
      </c>
      <c r="E885" s="17"/>
      <c r="F885" s="32"/>
      <c r="G885" s="6"/>
      <c r="H885" s="6"/>
      <c r="I885" s="6"/>
      <c r="J885" s="6"/>
      <c r="K885" s="6"/>
      <c r="L885" s="6"/>
      <c r="M885" s="6"/>
      <c r="N885" s="6"/>
      <c r="O885" s="31"/>
      <c r="P885" s="32"/>
      <c r="Q885" s="6"/>
      <c r="R885" s="59"/>
      <c r="S885" s="1"/>
      <c r="T885" s="1"/>
      <c r="U885" s="1"/>
    </row>
    <row r="886" spans="1:21" ht="9.75" customHeight="1" x14ac:dyDescent="0.4">
      <c r="A886" s="1"/>
      <c r="B886" s="1"/>
      <c r="C886" s="17"/>
      <c r="D886" s="17" t="s">
        <v>374</v>
      </c>
      <c r="E886" s="17"/>
      <c r="F886" s="32"/>
      <c r="G886" s="6"/>
      <c r="H886" s="6"/>
      <c r="I886" s="6"/>
      <c r="J886" s="6"/>
      <c r="K886" s="6"/>
      <c r="L886" s="6"/>
      <c r="M886" s="6"/>
      <c r="N886" s="6"/>
      <c r="O886" s="31"/>
      <c r="P886" s="32"/>
      <c r="Q886" s="6"/>
      <c r="R886" s="59"/>
      <c r="S886" s="1"/>
      <c r="T886" s="1"/>
      <c r="U886" s="1"/>
    </row>
    <row r="887" spans="1:21" ht="9.75" customHeight="1" x14ac:dyDescent="0.4">
      <c r="A887" s="1"/>
      <c r="B887" s="1"/>
      <c r="C887" s="17"/>
      <c r="D887" s="17" t="s">
        <v>374</v>
      </c>
      <c r="E887" s="17"/>
      <c r="F887" s="32"/>
      <c r="G887" s="6"/>
      <c r="H887" s="6"/>
      <c r="I887" s="6"/>
      <c r="J887" s="6"/>
      <c r="K887" s="6"/>
      <c r="L887" s="6"/>
      <c r="M887" s="6"/>
      <c r="N887" s="6"/>
      <c r="O887" s="31"/>
      <c r="P887" s="32"/>
      <c r="Q887" s="6"/>
      <c r="R887" s="59"/>
      <c r="S887" s="1"/>
      <c r="T887" s="1"/>
      <c r="U887" s="1"/>
    </row>
    <row r="888" spans="1:21" ht="9.75" customHeight="1" x14ac:dyDescent="0.4">
      <c r="A888" s="1"/>
      <c r="B888" s="1"/>
      <c r="C888" s="17"/>
      <c r="D888" s="17" t="s">
        <v>374</v>
      </c>
      <c r="E888" s="17"/>
      <c r="F888" s="32"/>
      <c r="G888" s="6"/>
      <c r="H888" s="6"/>
      <c r="I888" s="6"/>
      <c r="J888" s="6"/>
      <c r="K888" s="6"/>
      <c r="L888" s="6"/>
      <c r="M888" s="6"/>
      <c r="N888" s="6"/>
      <c r="O888" s="31"/>
      <c r="P888" s="32"/>
      <c r="Q888" s="6"/>
      <c r="R888" s="59"/>
      <c r="S888" s="1"/>
      <c r="T888" s="1"/>
      <c r="U888" s="1"/>
    </row>
    <row r="889" spans="1:21" ht="9.75" customHeight="1" x14ac:dyDescent="0.4">
      <c r="A889" s="1"/>
      <c r="B889" s="1"/>
      <c r="C889" s="17"/>
      <c r="D889" s="17" t="s">
        <v>310</v>
      </c>
      <c r="E889" s="17">
        <v>6</v>
      </c>
      <c r="F889" s="32">
        <v>5</v>
      </c>
      <c r="G889" s="6">
        <v>4</v>
      </c>
      <c r="H889" s="6">
        <v>0</v>
      </c>
      <c r="I889" s="6">
        <v>2</v>
      </c>
      <c r="J889" s="6">
        <v>0</v>
      </c>
      <c r="K889" s="6">
        <v>0</v>
      </c>
      <c r="L889" s="6">
        <v>0</v>
      </c>
      <c r="M889" s="6">
        <v>1</v>
      </c>
      <c r="N889" s="6">
        <v>3</v>
      </c>
      <c r="O889" s="31">
        <v>4</v>
      </c>
      <c r="P889" s="32">
        <f t="shared" ref="P889:P890" si="141">MIN(F889:O889)</f>
        <v>0</v>
      </c>
      <c r="Q889" s="6">
        <f t="shared" ref="Q889:Q890" si="142">E889-P889</f>
        <v>6</v>
      </c>
      <c r="R889" s="59">
        <f t="shared" ref="R889:R890" si="143">Q889/E889</f>
        <v>1</v>
      </c>
      <c r="S889" s="1"/>
      <c r="T889" s="1"/>
      <c r="U889" s="1"/>
    </row>
    <row r="890" spans="1:21" ht="9.75" customHeight="1" x14ac:dyDescent="0.4">
      <c r="A890" s="1"/>
      <c r="B890" s="1"/>
      <c r="C890" s="17"/>
      <c r="D890" s="17" t="s">
        <v>311</v>
      </c>
      <c r="E890" s="17">
        <v>5</v>
      </c>
      <c r="F890" s="32">
        <v>0</v>
      </c>
      <c r="G890" s="6">
        <v>0</v>
      </c>
      <c r="H890" s="6">
        <v>0</v>
      </c>
      <c r="I890" s="6">
        <v>0</v>
      </c>
      <c r="J890" s="6">
        <v>1</v>
      </c>
      <c r="K890" s="6">
        <v>3</v>
      </c>
      <c r="L890" s="6">
        <v>5</v>
      </c>
      <c r="M890" s="6">
        <v>3</v>
      </c>
      <c r="N890" s="6">
        <v>0</v>
      </c>
      <c r="O890" s="31">
        <v>0</v>
      </c>
      <c r="P890" s="32">
        <f t="shared" si="141"/>
        <v>0</v>
      </c>
      <c r="Q890" s="6">
        <f t="shared" si="142"/>
        <v>5</v>
      </c>
      <c r="R890" s="59">
        <f t="shared" si="143"/>
        <v>1</v>
      </c>
      <c r="S890" s="1"/>
      <c r="T890" s="1"/>
      <c r="U890" s="1"/>
    </row>
    <row r="891" spans="1:21" ht="9.75" customHeight="1" x14ac:dyDescent="0.4">
      <c r="A891" s="1"/>
      <c r="B891" s="1"/>
      <c r="C891" s="17"/>
      <c r="D891" s="17" t="s">
        <v>312</v>
      </c>
      <c r="E891" s="17"/>
      <c r="F891" s="32"/>
      <c r="G891" s="6"/>
      <c r="H891" s="6"/>
      <c r="I891" s="6"/>
      <c r="J891" s="6"/>
      <c r="K891" s="6"/>
      <c r="L891" s="6"/>
      <c r="M891" s="6"/>
      <c r="N891" s="6"/>
      <c r="O891" s="31"/>
      <c r="P891" s="32"/>
      <c r="Q891" s="6"/>
      <c r="R891" s="59"/>
      <c r="S891" s="1"/>
      <c r="T891" s="1"/>
      <c r="U891" s="1"/>
    </row>
    <row r="892" spans="1:21" ht="9.75" customHeight="1" x14ac:dyDescent="0.4">
      <c r="A892" s="1"/>
      <c r="B892" s="1"/>
      <c r="C892" s="17"/>
      <c r="D892" s="17" t="s">
        <v>313</v>
      </c>
      <c r="E892" s="17"/>
      <c r="F892" s="32"/>
      <c r="G892" s="6"/>
      <c r="H892" s="6"/>
      <c r="I892" s="6"/>
      <c r="J892" s="6"/>
      <c r="K892" s="6"/>
      <c r="L892" s="6"/>
      <c r="M892" s="6"/>
      <c r="N892" s="6"/>
      <c r="O892" s="31"/>
      <c r="P892" s="32"/>
      <c r="Q892" s="6"/>
      <c r="R892" s="59"/>
      <c r="S892" s="1"/>
      <c r="T892" s="1"/>
      <c r="U892" s="1"/>
    </row>
    <row r="893" spans="1:21" ht="9.75" customHeight="1" x14ac:dyDescent="0.4">
      <c r="A893" s="1"/>
      <c r="B893" s="1" t="s">
        <v>395</v>
      </c>
      <c r="C893" s="34"/>
      <c r="D893" s="65" t="s">
        <v>314</v>
      </c>
      <c r="E893" s="65">
        <f t="shared" ref="E893:O893" si="144">SUM(E877:E892)</f>
        <v>19</v>
      </c>
      <c r="F893" s="104">
        <f t="shared" si="144"/>
        <v>5</v>
      </c>
      <c r="G893" s="128">
        <f t="shared" si="144"/>
        <v>4</v>
      </c>
      <c r="H893" s="128">
        <f t="shared" si="144"/>
        <v>0</v>
      </c>
      <c r="I893" s="128">
        <f t="shared" si="144"/>
        <v>2</v>
      </c>
      <c r="J893" s="128">
        <f t="shared" si="144"/>
        <v>4</v>
      </c>
      <c r="K893" s="128">
        <f t="shared" si="144"/>
        <v>4</v>
      </c>
      <c r="L893" s="128">
        <f t="shared" si="144"/>
        <v>5</v>
      </c>
      <c r="M893" s="128">
        <f t="shared" si="144"/>
        <v>7</v>
      </c>
      <c r="N893" s="128">
        <f t="shared" si="144"/>
        <v>7</v>
      </c>
      <c r="O893" s="129">
        <f t="shared" si="144"/>
        <v>11</v>
      </c>
      <c r="P893" s="104">
        <f>MIN(F893:O893)</f>
        <v>0</v>
      </c>
      <c r="Q893" s="128">
        <f>E893-P893</f>
        <v>19</v>
      </c>
      <c r="R893" s="72">
        <f>Q893/E893</f>
        <v>1</v>
      </c>
      <c r="S893" s="1"/>
      <c r="T893" s="1"/>
      <c r="U893" s="1"/>
    </row>
    <row r="894" spans="1:21" ht="9.75" customHeight="1" x14ac:dyDescent="0.4">
      <c r="A894" s="1"/>
      <c r="B894" s="1"/>
      <c r="C894" s="15" t="s">
        <v>115</v>
      </c>
      <c r="D894" s="15" t="s">
        <v>300</v>
      </c>
      <c r="E894" s="15"/>
      <c r="F894" s="73"/>
      <c r="G894" s="108"/>
      <c r="H894" s="108"/>
      <c r="I894" s="108"/>
      <c r="J894" s="108"/>
      <c r="K894" s="108"/>
      <c r="L894" s="108"/>
      <c r="M894" s="108"/>
      <c r="N894" s="108"/>
      <c r="O894" s="109"/>
      <c r="P894" s="73"/>
      <c r="Q894" s="108"/>
      <c r="R894" s="188"/>
      <c r="S894" s="1"/>
      <c r="T894" s="1"/>
      <c r="U894" s="1"/>
    </row>
    <row r="895" spans="1:21" ht="9.75" customHeight="1" x14ac:dyDescent="0.4">
      <c r="A895" s="1"/>
      <c r="B895" s="1"/>
      <c r="C895" s="17"/>
      <c r="D895" s="17" t="s">
        <v>301</v>
      </c>
      <c r="E895" s="17">
        <v>134</v>
      </c>
      <c r="F895" s="32">
        <v>83</v>
      </c>
      <c r="G895" s="6">
        <v>75</v>
      </c>
      <c r="H895" s="6">
        <v>71</v>
      </c>
      <c r="I895" s="6">
        <v>68</v>
      </c>
      <c r="J895" s="6">
        <v>75</v>
      </c>
      <c r="K895" s="6">
        <v>78</v>
      </c>
      <c r="L895" s="6">
        <v>84</v>
      </c>
      <c r="M895" s="6">
        <v>90</v>
      </c>
      <c r="N895" s="6">
        <v>93</v>
      </c>
      <c r="O895" s="31">
        <v>106</v>
      </c>
      <c r="P895" s="32">
        <f>MIN(F895:O895)</f>
        <v>68</v>
      </c>
      <c r="Q895" s="6">
        <f>E895-P895</f>
        <v>66</v>
      </c>
      <c r="R895" s="59">
        <f>Q895/E895</f>
        <v>0.4925373134328358</v>
      </c>
      <c r="S895" s="1"/>
      <c r="T895" s="1"/>
      <c r="U895" s="1"/>
    </row>
    <row r="896" spans="1:21" ht="9.75" customHeight="1" x14ac:dyDescent="0.4">
      <c r="A896" s="1"/>
      <c r="B896" s="1"/>
      <c r="C896" s="17"/>
      <c r="D896" s="17" t="s">
        <v>303</v>
      </c>
      <c r="E896" s="17"/>
      <c r="F896" s="32"/>
      <c r="G896" s="6"/>
      <c r="H896" s="6"/>
      <c r="I896" s="6"/>
      <c r="J896" s="6"/>
      <c r="K896" s="6"/>
      <c r="L896" s="6"/>
      <c r="M896" s="6"/>
      <c r="N896" s="6"/>
      <c r="O896" s="31"/>
      <c r="P896" s="32"/>
      <c r="Q896" s="6"/>
      <c r="R896" s="59"/>
      <c r="S896" s="1"/>
      <c r="T896" s="1"/>
      <c r="U896" s="1"/>
    </row>
    <row r="897" spans="1:21" ht="9.75" customHeight="1" x14ac:dyDescent="0.4">
      <c r="A897" s="1"/>
      <c r="B897" s="1"/>
      <c r="C897" s="17"/>
      <c r="D897" s="17" t="s">
        <v>369</v>
      </c>
      <c r="E897" s="17"/>
      <c r="F897" s="32"/>
      <c r="G897" s="6"/>
      <c r="H897" s="6"/>
      <c r="I897" s="6"/>
      <c r="J897" s="6"/>
      <c r="K897" s="6"/>
      <c r="L897" s="6"/>
      <c r="M897" s="6"/>
      <c r="N897" s="6"/>
      <c r="O897" s="31"/>
      <c r="P897" s="32"/>
      <c r="Q897" s="6"/>
      <c r="R897" s="59"/>
      <c r="S897" s="1"/>
      <c r="T897" s="1"/>
      <c r="U897" s="1"/>
    </row>
    <row r="898" spans="1:21" ht="9.75" customHeight="1" x14ac:dyDescent="0.4">
      <c r="A898" s="1"/>
      <c r="B898" s="1"/>
      <c r="C898" s="17"/>
      <c r="D898" s="17" t="s">
        <v>369</v>
      </c>
      <c r="E898" s="17"/>
      <c r="F898" s="32"/>
      <c r="G898" s="6"/>
      <c r="H898" s="6"/>
      <c r="I898" s="6"/>
      <c r="J898" s="6"/>
      <c r="K898" s="6"/>
      <c r="L898" s="6"/>
      <c r="M898" s="6"/>
      <c r="N898" s="6"/>
      <c r="O898" s="31"/>
      <c r="P898" s="32"/>
      <c r="Q898" s="6"/>
      <c r="R898" s="59"/>
      <c r="S898" s="1"/>
      <c r="T898" s="1"/>
      <c r="U898" s="1"/>
    </row>
    <row r="899" spans="1:21" ht="9.75" customHeight="1" x14ac:dyDescent="0.4">
      <c r="A899" s="1"/>
      <c r="B899" s="1"/>
      <c r="C899" s="17"/>
      <c r="D899" s="17" t="s">
        <v>308</v>
      </c>
      <c r="E899" s="17"/>
      <c r="F899" s="32"/>
      <c r="G899" s="6"/>
      <c r="H899" s="6"/>
      <c r="I899" s="6"/>
      <c r="J899" s="6"/>
      <c r="K899" s="6"/>
      <c r="L899" s="6"/>
      <c r="M899" s="6"/>
      <c r="N899" s="6"/>
      <c r="O899" s="31"/>
      <c r="P899" s="32"/>
      <c r="Q899" s="6"/>
      <c r="R899" s="59"/>
      <c r="S899" s="1"/>
      <c r="T899" s="1"/>
      <c r="U899" s="1"/>
    </row>
    <row r="900" spans="1:21" ht="9.75" customHeight="1" x14ac:dyDescent="0.4">
      <c r="A900" s="1"/>
      <c r="B900" s="1"/>
      <c r="C900" s="17"/>
      <c r="D900" s="17" t="s">
        <v>435</v>
      </c>
      <c r="E900" s="17">
        <v>52</v>
      </c>
      <c r="F900" s="32">
        <v>32</v>
      </c>
      <c r="G900" s="6">
        <v>18</v>
      </c>
      <c r="H900" s="6">
        <v>13</v>
      </c>
      <c r="I900" s="6">
        <v>8</v>
      </c>
      <c r="J900" s="6">
        <v>11</v>
      </c>
      <c r="K900" s="6">
        <v>6</v>
      </c>
      <c r="L900" s="6">
        <v>3</v>
      </c>
      <c r="M900" s="6">
        <v>18</v>
      </c>
      <c r="N900" s="6">
        <v>19</v>
      </c>
      <c r="O900" s="31">
        <v>31</v>
      </c>
      <c r="P900" s="32">
        <f>MIN(F900:O900)</f>
        <v>3</v>
      </c>
      <c r="Q900" s="6">
        <f>E900-P900</f>
        <v>49</v>
      </c>
      <c r="R900" s="59">
        <f>Q900/E900</f>
        <v>0.94230769230769229</v>
      </c>
      <c r="S900" s="1"/>
      <c r="T900" s="1"/>
      <c r="U900" s="1"/>
    </row>
    <row r="901" spans="1:21" ht="9.75" customHeight="1" x14ac:dyDescent="0.4">
      <c r="A901" s="1"/>
      <c r="B901" s="1"/>
      <c r="C901" s="17"/>
      <c r="D901" s="17" t="s">
        <v>374</v>
      </c>
      <c r="E901" s="17"/>
      <c r="F901" s="32"/>
      <c r="G901" s="6"/>
      <c r="H901" s="6"/>
      <c r="I901" s="6"/>
      <c r="J901" s="6"/>
      <c r="K901" s="6"/>
      <c r="L901" s="6"/>
      <c r="M901" s="6"/>
      <c r="N901" s="6"/>
      <c r="O901" s="31"/>
      <c r="P901" s="32"/>
      <c r="Q901" s="6"/>
      <c r="R901" s="59"/>
      <c r="S901" s="1"/>
      <c r="T901" s="1"/>
      <c r="U901" s="1"/>
    </row>
    <row r="902" spans="1:21" ht="9.75" customHeight="1" x14ac:dyDescent="0.4">
      <c r="A902" s="1"/>
      <c r="B902" s="1"/>
      <c r="C902" s="17"/>
      <c r="D902" s="17" t="s">
        <v>374</v>
      </c>
      <c r="E902" s="17"/>
      <c r="F902" s="32"/>
      <c r="G902" s="6"/>
      <c r="H902" s="6"/>
      <c r="I902" s="6"/>
      <c r="J902" s="6"/>
      <c r="K902" s="6"/>
      <c r="L902" s="6"/>
      <c r="M902" s="6"/>
      <c r="N902" s="6"/>
      <c r="O902" s="31"/>
      <c r="P902" s="32"/>
      <c r="Q902" s="6"/>
      <c r="R902" s="59"/>
      <c r="S902" s="1"/>
      <c r="T902" s="1"/>
      <c r="U902" s="1"/>
    </row>
    <row r="903" spans="1:21" ht="9.75" customHeight="1" x14ac:dyDescent="0.4">
      <c r="A903" s="1"/>
      <c r="B903" s="1"/>
      <c r="C903" s="17"/>
      <c r="D903" s="17" t="s">
        <v>374</v>
      </c>
      <c r="E903" s="17"/>
      <c r="F903" s="32"/>
      <c r="G903" s="6"/>
      <c r="H903" s="6"/>
      <c r="I903" s="6"/>
      <c r="J903" s="6"/>
      <c r="K903" s="6"/>
      <c r="L903" s="6"/>
      <c r="M903" s="6"/>
      <c r="N903" s="6"/>
      <c r="O903" s="31"/>
      <c r="P903" s="32"/>
      <c r="Q903" s="6"/>
      <c r="R903" s="59"/>
      <c r="S903" s="1"/>
      <c r="T903" s="1"/>
      <c r="U903" s="1"/>
    </row>
    <row r="904" spans="1:21" ht="9.75" customHeight="1" x14ac:dyDescent="0.4">
      <c r="A904" s="1"/>
      <c r="B904" s="1"/>
      <c r="C904" s="17"/>
      <c r="D904" s="17" t="s">
        <v>374</v>
      </c>
      <c r="E904" s="17"/>
      <c r="F904" s="32"/>
      <c r="G904" s="6"/>
      <c r="H904" s="6"/>
      <c r="I904" s="6"/>
      <c r="J904" s="6"/>
      <c r="K904" s="6"/>
      <c r="L904" s="6"/>
      <c r="M904" s="6"/>
      <c r="N904" s="6"/>
      <c r="O904" s="31"/>
      <c r="P904" s="32"/>
      <c r="Q904" s="6"/>
      <c r="R904" s="59"/>
      <c r="S904" s="1"/>
      <c r="T904" s="1"/>
      <c r="U904" s="1"/>
    </row>
    <row r="905" spans="1:21" ht="9.75" customHeight="1" x14ac:dyDescent="0.4">
      <c r="A905" s="1"/>
      <c r="B905" s="1"/>
      <c r="C905" s="17"/>
      <c r="D905" s="17" t="s">
        <v>374</v>
      </c>
      <c r="E905" s="17"/>
      <c r="F905" s="32"/>
      <c r="G905" s="6"/>
      <c r="H905" s="6"/>
      <c r="I905" s="6"/>
      <c r="J905" s="6"/>
      <c r="K905" s="6"/>
      <c r="L905" s="6"/>
      <c r="M905" s="6"/>
      <c r="N905" s="6"/>
      <c r="O905" s="31"/>
      <c r="P905" s="32"/>
      <c r="Q905" s="6"/>
      <c r="R905" s="59"/>
      <c r="S905" s="1"/>
      <c r="T905" s="1"/>
      <c r="U905" s="1"/>
    </row>
    <row r="906" spans="1:21" ht="9.75" customHeight="1" x14ac:dyDescent="0.4">
      <c r="A906" s="1"/>
      <c r="B906" s="1"/>
      <c r="C906" s="17"/>
      <c r="D906" s="17" t="s">
        <v>310</v>
      </c>
      <c r="E906" s="17"/>
      <c r="F906" s="32"/>
      <c r="G906" s="6"/>
      <c r="H906" s="6"/>
      <c r="I906" s="6"/>
      <c r="J906" s="6"/>
      <c r="K906" s="6"/>
      <c r="L906" s="6"/>
      <c r="M906" s="6"/>
      <c r="N906" s="6"/>
      <c r="O906" s="31"/>
      <c r="P906" s="32"/>
      <c r="Q906" s="6"/>
      <c r="R906" s="59"/>
      <c r="S906" s="1"/>
      <c r="T906" s="1"/>
      <c r="U906" s="1"/>
    </row>
    <row r="907" spans="1:21" ht="9.75" customHeight="1" x14ac:dyDescent="0.4">
      <c r="A907" s="1"/>
      <c r="B907" s="1"/>
      <c r="C907" s="17"/>
      <c r="D907" s="17" t="s">
        <v>311</v>
      </c>
      <c r="E907" s="17"/>
      <c r="F907" s="32"/>
      <c r="G907" s="6"/>
      <c r="H907" s="6"/>
      <c r="I907" s="6"/>
      <c r="J907" s="6"/>
      <c r="K907" s="6"/>
      <c r="L907" s="6"/>
      <c r="M907" s="6"/>
      <c r="N907" s="6"/>
      <c r="O907" s="31"/>
      <c r="P907" s="32"/>
      <c r="Q907" s="6"/>
      <c r="R907" s="59"/>
      <c r="S907" s="1"/>
      <c r="T907" s="1"/>
      <c r="U907" s="1"/>
    </row>
    <row r="908" spans="1:21" ht="9.75" customHeight="1" x14ac:dyDescent="0.4">
      <c r="A908" s="1"/>
      <c r="B908" s="1"/>
      <c r="C908" s="17"/>
      <c r="D908" s="17" t="s">
        <v>312</v>
      </c>
      <c r="E908" s="17"/>
      <c r="F908" s="32"/>
      <c r="G908" s="6"/>
      <c r="H908" s="6"/>
      <c r="I908" s="6"/>
      <c r="J908" s="6"/>
      <c r="K908" s="6"/>
      <c r="L908" s="6"/>
      <c r="M908" s="6"/>
      <c r="N908" s="6"/>
      <c r="O908" s="31"/>
      <c r="P908" s="32"/>
      <c r="Q908" s="6"/>
      <c r="R908" s="59"/>
      <c r="S908" s="1"/>
      <c r="T908" s="1"/>
      <c r="U908" s="1"/>
    </row>
    <row r="909" spans="1:21" ht="9.75" customHeight="1" x14ac:dyDescent="0.4">
      <c r="A909" s="1"/>
      <c r="B909" s="1"/>
      <c r="C909" s="17"/>
      <c r="D909" s="17" t="s">
        <v>313</v>
      </c>
      <c r="E909" s="17"/>
      <c r="F909" s="32"/>
      <c r="G909" s="6"/>
      <c r="H909" s="6"/>
      <c r="I909" s="6"/>
      <c r="J909" s="6"/>
      <c r="K909" s="6"/>
      <c r="L909" s="6"/>
      <c r="M909" s="6"/>
      <c r="N909" s="6"/>
      <c r="O909" s="31"/>
      <c r="P909" s="32"/>
      <c r="Q909" s="6"/>
      <c r="R909" s="59"/>
      <c r="S909" s="1"/>
      <c r="T909" s="1"/>
      <c r="U909" s="1"/>
    </row>
    <row r="910" spans="1:21" ht="9.75" customHeight="1" x14ac:dyDescent="0.4">
      <c r="A910" s="1"/>
      <c r="B910" s="1" t="s">
        <v>395</v>
      </c>
      <c r="C910" s="34"/>
      <c r="D910" s="65" t="s">
        <v>314</v>
      </c>
      <c r="E910" s="65">
        <f t="shared" ref="E910:O910" si="145">SUM(E894:E909)</f>
        <v>186</v>
      </c>
      <c r="F910" s="104">
        <f t="shared" si="145"/>
        <v>115</v>
      </c>
      <c r="G910" s="128">
        <f t="shared" si="145"/>
        <v>93</v>
      </c>
      <c r="H910" s="128">
        <f t="shared" si="145"/>
        <v>84</v>
      </c>
      <c r="I910" s="128">
        <f t="shared" si="145"/>
        <v>76</v>
      </c>
      <c r="J910" s="128">
        <f t="shared" si="145"/>
        <v>86</v>
      </c>
      <c r="K910" s="128">
        <f t="shared" si="145"/>
        <v>84</v>
      </c>
      <c r="L910" s="128">
        <f t="shared" si="145"/>
        <v>87</v>
      </c>
      <c r="M910" s="128">
        <f t="shared" si="145"/>
        <v>108</v>
      </c>
      <c r="N910" s="128">
        <f t="shared" si="145"/>
        <v>112</v>
      </c>
      <c r="O910" s="129">
        <f t="shared" si="145"/>
        <v>137</v>
      </c>
      <c r="P910" s="104">
        <f>MIN(F910:O910)</f>
        <v>76</v>
      </c>
      <c r="Q910" s="128">
        <f>E910-P910</f>
        <v>110</v>
      </c>
      <c r="R910" s="72">
        <f>Q910/E910</f>
        <v>0.59139784946236562</v>
      </c>
      <c r="S910" s="1"/>
      <c r="T910" s="1"/>
      <c r="U910" s="1"/>
    </row>
    <row r="911" spans="1:21" ht="9.75" customHeight="1" x14ac:dyDescent="0.4">
      <c r="A911" s="1"/>
      <c r="B911" s="1"/>
      <c r="C911" s="15" t="s">
        <v>132</v>
      </c>
      <c r="D911" s="15" t="s">
        <v>300</v>
      </c>
      <c r="E911" s="15"/>
      <c r="F911" s="73"/>
      <c r="G911" s="108"/>
      <c r="H911" s="108"/>
      <c r="I911" s="108"/>
      <c r="J911" s="108"/>
      <c r="K911" s="108"/>
      <c r="L911" s="108"/>
      <c r="M911" s="108"/>
      <c r="N911" s="108"/>
      <c r="O911" s="109"/>
      <c r="P911" s="73"/>
      <c r="Q911" s="108"/>
      <c r="R911" s="188"/>
      <c r="S911" s="1"/>
      <c r="T911" s="1"/>
      <c r="U911" s="1"/>
    </row>
    <row r="912" spans="1:21" ht="9.75" customHeight="1" x14ac:dyDescent="0.4">
      <c r="A912" s="1"/>
      <c r="B912" s="1"/>
      <c r="C912" s="17"/>
      <c r="D912" s="17" t="s">
        <v>301</v>
      </c>
      <c r="E912" s="17"/>
      <c r="F912" s="32"/>
      <c r="G912" s="6"/>
      <c r="H912" s="6"/>
      <c r="I912" s="6"/>
      <c r="J912" s="6"/>
      <c r="K912" s="6"/>
      <c r="L912" s="6"/>
      <c r="M912" s="6"/>
      <c r="N912" s="6"/>
      <c r="O912" s="31"/>
      <c r="P912" s="32"/>
      <c r="Q912" s="6"/>
      <c r="R912" s="59"/>
      <c r="S912" s="1"/>
      <c r="T912" s="1"/>
      <c r="U912" s="1"/>
    </row>
    <row r="913" spans="1:21" ht="9.75" customHeight="1" x14ac:dyDescent="0.4">
      <c r="A913" s="1"/>
      <c r="B913" s="1"/>
      <c r="C913" s="17"/>
      <c r="D913" s="17" t="s">
        <v>303</v>
      </c>
      <c r="E913" s="17"/>
      <c r="F913" s="32"/>
      <c r="G913" s="6"/>
      <c r="H913" s="6"/>
      <c r="I913" s="6"/>
      <c r="J913" s="6"/>
      <c r="K913" s="6"/>
      <c r="L913" s="6"/>
      <c r="M913" s="6"/>
      <c r="N913" s="6"/>
      <c r="O913" s="31"/>
      <c r="P913" s="32"/>
      <c r="Q913" s="6"/>
      <c r="R913" s="59"/>
      <c r="S913" s="1"/>
      <c r="T913" s="1"/>
      <c r="U913" s="1"/>
    </row>
    <row r="914" spans="1:21" ht="9.75" customHeight="1" x14ac:dyDescent="0.4">
      <c r="A914" s="1"/>
      <c r="B914" s="1"/>
      <c r="C914" s="17"/>
      <c r="D914" s="17" t="s">
        <v>409</v>
      </c>
      <c r="E914" s="17">
        <v>222</v>
      </c>
      <c r="F914" s="32">
        <v>162</v>
      </c>
      <c r="G914" s="6">
        <v>157</v>
      </c>
      <c r="H914" s="6">
        <v>150</v>
      </c>
      <c r="I914" s="6">
        <v>161</v>
      </c>
      <c r="J914" s="6">
        <v>158</v>
      </c>
      <c r="K914" s="6">
        <v>167</v>
      </c>
      <c r="L914" s="6">
        <v>173</v>
      </c>
      <c r="M914" s="6">
        <v>179</v>
      </c>
      <c r="N914" s="6">
        <v>191</v>
      </c>
      <c r="O914" s="31">
        <v>202</v>
      </c>
      <c r="P914" s="32">
        <f>MIN(F914:O914)</f>
        <v>150</v>
      </c>
      <c r="Q914" s="6">
        <f>E914-P914</f>
        <v>72</v>
      </c>
      <c r="R914" s="59">
        <f>Q914/E914</f>
        <v>0.32432432432432434</v>
      </c>
      <c r="S914" s="1"/>
      <c r="T914" s="1"/>
      <c r="U914" s="1"/>
    </row>
    <row r="915" spans="1:21" ht="9.75" customHeight="1" x14ac:dyDescent="0.4">
      <c r="A915" s="1"/>
      <c r="B915" s="1"/>
      <c r="C915" s="17"/>
      <c r="D915" s="17" t="s">
        <v>369</v>
      </c>
      <c r="E915" s="17"/>
      <c r="F915" s="32"/>
      <c r="G915" s="6"/>
      <c r="H915" s="6"/>
      <c r="I915" s="6"/>
      <c r="J915" s="6"/>
      <c r="K915" s="6"/>
      <c r="L915" s="6"/>
      <c r="M915" s="6"/>
      <c r="N915" s="6"/>
      <c r="O915" s="31"/>
      <c r="P915" s="32"/>
      <c r="Q915" s="6"/>
      <c r="R915" s="59"/>
      <c r="S915" s="1"/>
      <c r="T915" s="1"/>
      <c r="U915" s="1"/>
    </row>
    <row r="916" spans="1:21" ht="9.75" customHeight="1" x14ac:dyDescent="0.4">
      <c r="A916" s="1"/>
      <c r="B916" s="1"/>
      <c r="C916" s="17"/>
      <c r="D916" s="17" t="s">
        <v>308</v>
      </c>
      <c r="E916" s="17">
        <v>6</v>
      </c>
      <c r="F916" s="32">
        <v>3</v>
      </c>
      <c r="G916" s="6">
        <v>1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1</v>
      </c>
      <c r="N916" s="6">
        <v>4</v>
      </c>
      <c r="O916" s="31">
        <v>5</v>
      </c>
      <c r="P916" s="32">
        <f>MIN(F916:O916)</f>
        <v>0</v>
      </c>
      <c r="Q916" s="6">
        <f>E916-P916</f>
        <v>6</v>
      </c>
      <c r="R916" s="59">
        <f>Q916/E916</f>
        <v>1</v>
      </c>
      <c r="S916" s="1"/>
      <c r="T916" s="1"/>
      <c r="U916" s="1"/>
    </row>
    <row r="917" spans="1:21" ht="9.75" customHeight="1" x14ac:dyDescent="0.4">
      <c r="A917" s="1"/>
      <c r="B917" s="1"/>
      <c r="C917" s="17"/>
      <c r="D917" s="17" t="s">
        <v>374</v>
      </c>
      <c r="E917" s="17"/>
      <c r="F917" s="32"/>
      <c r="G917" s="6"/>
      <c r="H917" s="6"/>
      <c r="I917" s="6"/>
      <c r="J917" s="6"/>
      <c r="K917" s="6"/>
      <c r="L917" s="6"/>
      <c r="M917" s="6"/>
      <c r="N917" s="6"/>
      <c r="O917" s="31"/>
      <c r="P917" s="32"/>
      <c r="Q917" s="6"/>
      <c r="R917" s="59"/>
      <c r="S917" s="1"/>
      <c r="T917" s="1"/>
      <c r="U917" s="1"/>
    </row>
    <row r="918" spans="1:21" ht="9.75" customHeight="1" x14ac:dyDescent="0.4">
      <c r="A918" s="1"/>
      <c r="B918" s="1"/>
      <c r="C918" s="17"/>
      <c r="D918" s="17" t="s">
        <v>374</v>
      </c>
      <c r="E918" s="17"/>
      <c r="F918" s="32"/>
      <c r="G918" s="6"/>
      <c r="H918" s="6"/>
      <c r="I918" s="6"/>
      <c r="J918" s="6"/>
      <c r="K918" s="6"/>
      <c r="L918" s="6"/>
      <c r="M918" s="6"/>
      <c r="N918" s="6"/>
      <c r="O918" s="31"/>
      <c r="P918" s="32"/>
      <c r="Q918" s="6"/>
      <c r="R918" s="59"/>
      <c r="S918" s="1"/>
      <c r="T918" s="1"/>
      <c r="U918" s="1"/>
    </row>
    <row r="919" spans="1:21" ht="9.75" customHeight="1" x14ac:dyDescent="0.4">
      <c r="A919" s="1"/>
      <c r="B919" s="1"/>
      <c r="C919" s="17"/>
      <c r="D919" s="17" t="s">
        <v>374</v>
      </c>
      <c r="E919" s="17"/>
      <c r="F919" s="32"/>
      <c r="G919" s="6"/>
      <c r="H919" s="6"/>
      <c r="I919" s="6"/>
      <c r="J919" s="6"/>
      <c r="K919" s="6"/>
      <c r="L919" s="6"/>
      <c r="M919" s="6"/>
      <c r="N919" s="6"/>
      <c r="O919" s="31"/>
      <c r="P919" s="32"/>
      <c r="Q919" s="6"/>
      <c r="R919" s="59"/>
      <c r="S919" s="1"/>
      <c r="T919" s="1"/>
      <c r="U919" s="1"/>
    </row>
    <row r="920" spans="1:21" ht="9.75" customHeight="1" x14ac:dyDescent="0.4">
      <c r="A920" s="1"/>
      <c r="B920" s="1"/>
      <c r="C920" s="17"/>
      <c r="D920" s="17" t="s">
        <v>374</v>
      </c>
      <c r="E920" s="17"/>
      <c r="F920" s="32"/>
      <c r="G920" s="6"/>
      <c r="H920" s="6"/>
      <c r="I920" s="6"/>
      <c r="J920" s="6"/>
      <c r="K920" s="6"/>
      <c r="L920" s="6"/>
      <c r="M920" s="6"/>
      <c r="N920" s="6"/>
      <c r="O920" s="31"/>
      <c r="P920" s="32"/>
      <c r="Q920" s="6"/>
      <c r="R920" s="59"/>
      <c r="S920" s="1"/>
      <c r="T920" s="1"/>
      <c r="U920" s="1"/>
    </row>
    <row r="921" spans="1:21" ht="9.75" customHeight="1" x14ac:dyDescent="0.4">
      <c r="A921" s="1"/>
      <c r="B921" s="1"/>
      <c r="C921" s="17"/>
      <c r="D921" s="17" t="s">
        <v>374</v>
      </c>
      <c r="E921" s="17"/>
      <c r="F921" s="32"/>
      <c r="G921" s="6"/>
      <c r="H921" s="6"/>
      <c r="I921" s="6"/>
      <c r="J921" s="6"/>
      <c r="K921" s="6"/>
      <c r="L921" s="6"/>
      <c r="M921" s="6"/>
      <c r="N921" s="6"/>
      <c r="O921" s="31"/>
      <c r="P921" s="32"/>
      <c r="Q921" s="6"/>
      <c r="R921" s="59"/>
      <c r="S921" s="1"/>
      <c r="T921" s="1"/>
      <c r="U921" s="1"/>
    </row>
    <row r="922" spans="1:21" ht="9.75" customHeight="1" x14ac:dyDescent="0.4">
      <c r="A922" s="1"/>
      <c r="B922" s="1"/>
      <c r="C922" s="17"/>
      <c r="D922" s="17" t="s">
        <v>374</v>
      </c>
      <c r="E922" s="17"/>
      <c r="F922" s="32"/>
      <c r="G922" s="6"/>
      <c r="H922" s="6"/>
      <c r="I922" s="6"/>
      <c r="J922" s="6"/>
      <c r="K922" s="6"/>
      <c r="L922" s="6"/>
      <c r="M922" s="6"/>
      <c r="N922" s="6"/>
      <c r="O922" s="31"/>
      <c r="P922" s="32"/>
      <c r="Q922" s="6"/>
      <c r="R922" s="59"/>
      <c r="S922" s="1"/>
      <c r="T922" s="1"/>
      <c r="U922" s="1"/>
    </row>
    <row r="923" spans="1:21" ht="9.75" customHeight="1" x14ac:dyDescent="0.4">
      <c r="A923" s="1"/>
      <c r="B923" s="1"/>
      <c r="C923" s="17"/>
      <c r="D923" s="17" t="s">
        <v>310</v>
      </c>
      <c r="E923" s="17">
        <v>10</v>
      </c>
      <c r="F923" s="32">
        <v>3</v>
      </c>
      <c r="G923" s="6">
        <v>3</v>
      </c>
      <c r="H923" s="6">
        <v>3</v>
      </c>
      <c r="I923" s="6">
        <v>0</v>
      </c>
      <c r="J923" s="6">
        <v>0</v>
      </c>
      <c r="K923" s="6">
        <v>0</v>
      </c>
      <c r="L923" s="6">
        <v>1</v>
      </c>
      <c r="M923" s="6">
        <v>4</v>
      </c>
      <c r="N923" s="6">
        <v>6</v>
      </c>
      <c r="O923" s="31">
        <v>8</v>
      </c>
      <c r="P923" s="32">
        <f>MIN(F923:O923)</f>
        <v>0</v>
      </c>
      <c r="Q923" s="6">
        <f>E923-P923</f>
        <v>10</v>
      </c>
      <c r="R923" s="59">
        <f>Q923/E923</f>
        <v>1</v>
      </c>
      <c r="S923" s="1"/>
      <c r="T923" s="1"/>
      <c r="U923" s="1"/>
    </row>
    <row r="924" spans="1:21" ht="9.75" customHeight="1" x14ac:dyDescent="0.4">
      <c r="A924" s="1"/>
      <c r="B924" s="1"/>
      <c r="C924" s="17"/>
      <c r="D924" s="17" t="s">
        <v>311</v>
      </c>
      <c r="E924" s="17"/>
      <c r="F924" s="32"/>
      <c r="G924" s="6"/>
      <c r="H924" s="6"/>
      <c r="I924" s="6"/>
      <c r="J924" s="6"/>
      <c r="K924" s="6"/>
      <c r="L924" s="6"/>
      <c r="M924" s="6"/>
      <c r="N924" s="6"/>
      <c r="O924" s="31"/>
      <c r="P924" s="32"/>
      <c r="Q924" s="6"/>
      <c r="R924" s="59"/>
      <c r="S924" s="1"/>
      <c r="T924" s="1"/>
      <c r="U924" s="1"/>
    </row>
    <row r="925" spans="1:21" ht="9.75" customHeight="1" x14ac:dyDescent="0.4">
      <c r="A925" s="1"/>
      <c r="B925" s="1"/>
      <c r="C925" s="17"/>
      <c r="D925" s="17" t="s">
        <v>312</v>
      </c>
      <c r="E925" s="17"/>
      <c r="F925" s="32"/>
      <c r="G925" s="6"/>
      <c r="H925" s="6"/>
      <c r="I925" s="6"/>
      <c r="J925" s="6"/>
      <c r="K925" s="6"/>
      <c r="L925" s="6"/>
      <c r="M925" s="6"/>
      <c r="N925" s="6"/>
      <c r="O925" s="31"/>
      <c r="P925" s="32"/>
      <c r="Q925" s="6"/>
      <c r="R925" s="59"/>
      <c r="S925" s="1"/>
      <c r="T925" s="1"/>
      <c r="U925" s="1"/>
    </row>
    <row r="926" spans="1:21" ht="9.75" customHeight="1" x14ac:dyDescent="0.4">
      <c r="A926" s="1"/>
      <c r="B926" s="1"/>
      <c r="C926" s="17"/>
      <c r="D926" s="17" t="s">
        <v>313</v>
      </c>
      <c r="E926" s="17"/>
      <c r="F926" s="32"/>
      <c r="G926" s="6"/>
      <c r="H926" s="6"/>
      <c r="I926" s="6"/>
      <c r="J926" s="6"/>
      <c r="K926" s="6"/>
      <c r="L926" s="6"/>
      <c r="M926" s="6"/>
      <c r="N926" s="6"/>
      <c r="O926" s="31"/>
      <c r="P926" s="32"/>
      <c r="Q926" s="6"/>
      <c r="R926" s="59"/>
      <c r="S926" s="1"/>
      <c r="T926" s="1"/>
      <c r="U926" s="1"/>
    </row>
    <row r="927" spans="1:21" ht="9.75" customHeight="1" x14ac:dyDescent="0.4">
      <c r="A927" s="1"/>
      <c r="B927" s="1" t="s">
        <v>395</v>
      </c>
      <c r="C927" s="34"/>
      <c r="D927" s="65" t="s">
        <v>314</v>
      </c>
      <c r="E927" s="65">
        <f t="shared" ref="E927:O927" si="146">SUM(E911:E926)</f>
        <v>238</v>
      </c>
      <c r="F927" s="104">
        <f t="shared" si="146"/>
        <v>168</v>
      </c>
      <c r="G927" s="128">
        <f t="shared" si="146"/>
        <v>161</v>
      </c>
      <c r="H927" s="128">
        <f t="shared" si="146"/>
        <v>153</v>
      </c>
      <c r="I927" s="128">
        <f t="shared" si="146"/>
        <v>161</v>
      </c>
      <c r="J927" s="128">
        <f t="shared" si="146"/>
        <v>158</v>
      </c>
      <c r="K927" s="128">
        <f t="shared" si="146"/>
        <v>167</v>
      </c>
      <c r="L927" s="128">
        <f t="shared" si="146"/>
        <v>174</v>
      </c>
      <c r="M927" s="128">
        <f t="shared" si="146"/>
        <v>184</v>
      </c>
      <c r="N927" s="128">
        <f t="shared" si="146"/>
        <v>201</v>
      </c>
      <c r="O927" s="129">
        <f t="shared" si="146"/>
        <v>215</v>
      </c>
      <c r="P927" s="104">
        <f>MIN(F927:O927)</f>
        <v>153</v>
      </c>
      <c r="Q927" s="128">
        <f>E927-P927</f>
        <v>85</v>
      </c>
      <c r="R927" s="72">
        <f>Q927/E927</f>
        <v>0.35714285714285715</v>
      </c>
      <c r="S927" s="1"/>
      <c r="T927" s="1"/>
      <c r="U927" s="1"/>
    </row>
    <row r="928" spans="1:21" ht="9.75" customHeight="1" x14ac:dyDescent="0.4">
      <c r="A928" s="1"/>
      <c r="B928" s="1"/>
      <c r="C928" s="15" t="s">
        <v>148</v>
      </c>
      <c r="D928" s="15" t="s">
        <v>300</v>
      </c>
      <c r="E928" s="15"/>
      <c r="F928" s="73"/>
      <c r="G928" s="108"/>
      <c r="H928" s="108"/>
      <c r="I928" s="108"/>
      <c r="J928" s="108"/>
      <c r="K928" s="108"/>
      <c r="L928" s="108"/>
      <c r="M928" s="108"/>
      <c r="N928" s="108"/>
      <c r="O928" s="109"/>
      <c r="P928" s="73"/>
      <c r="Q928" s="108"/>
      <c r="R928" s="188"/>
      <c r="S928" s="1"/>
      <c r="T928" s="1"/>
      <c r="U928" s="1"/>
    </row>
    <row r="929" spans="1:21" ht="9.75" customHeight="1" x14ac:dyDescent="0.4">
      <c r="A929" s="1"/>
      <c r="B929" s="1"/>
      <c r="C929" s="17"/>
      <c r="D929" s="17" t="s">
        <v>301</v>
      </c>
      <c r="E929" s="17"/>
      <c r="F929" s="32"/>
      <c r="G929" s="6"/>
      <c r="H929" s="6"/>
      <c r="I929" s="6"/>
      <c r="J929" s="6"/>
      <c r="K929" s="6"/>
      <c r="L929" s="6"/>
      <c r="M929" s="6"/>
      <c r="N929" s="6"/>
      <c r="O929" s="31"/>
      <c r="P929" s="32"/>
      <c r="Q929" s="6"/>
      <c r="R929" s="59"/>
      <c r="S929" s="1"/>
      <c r="T929" s="1"/>
      <c r="U929" s="1"/>
    </row>
    <row r="930" spans="1:21" ht="9.75" customHeight="1" x14ac:dyDescent="0.4">
      <c r="A930" s="1"/>
      <c r="B930" s="1"/>
      <c r="C930" s="17"/>
      <c r="D930" s="17" t="s">
        <v>316</v>
      </c>
      <c r="E930" s="17">
        <v>398</v>
      </c>
      <c r="F930" s="32">
        <v>0</v>
      </c>
      <c r="G930" s="6">
        <v>0</v>
      </c>
      <c r="H930" s="6">
        <v>0</v>
      </c>
      <c r="I930" s="6">
        <v>1</v>
      </c>
      <c r="J930" s="6">
        <v>0</v>
      </c>
      <c r="K930" s="6">
        <v>0</v>
      </c>
      <c r="L930" s="6">
        <v>0</v>
      </c>
      <c r="M930" s="6">
        <v>1</v>
      </c>
      <c r="N930" s="6">
        <v>0</v>
      </c>
      <c r="O930" s="31">
        <v>1</v>
      </c>
      <c r="P930" s="32">
        <f>MIN(F930:O930)</f>
        <v>0</v>
      </c>
      <c r="Q930" s="6">
        <f>E930-P930</f>
        <v>398</v>
      </c>
      <c r="R930" s="59">
        <f>Q930/E930</f>
        <v>1</v>
      </c>
      <c r="S930" s="1"/>
      <c r="T930" s="1"/>
      <c r="U930" s="1"/>
    </row>
    <row r="931" spans="1:21" ht="9.75" customHeight="1" x14ac:dyDescent="0.4">
      <c r="A931" s="1"/>
      <c r="B931" s="1"/>
      <c r="C931" s="17"/>
      <c r="D931" s="17" t="s">
        <v>369</v>
      </c>
      <c r="E931" s="17"/>
      <c r="F931" s="32"/>
      <c r="G931" s="6"/>
      <c r="H931" s="6"/>
      <c r="I931" s="6"/>
      <c r="J931" s="6"/>
      <c r="K931" s="6"/>
      <c r="L931" s="6"/>
      <c r="M931" s="6"/>
      <c r="N931" s="6"/>
      <c r="O931" s="31"/>
      <c r="P931" s="32"/>
      <c r="Q931" s="6"/>
      <c r="R931" s="59"/>
      <c r="S931" s="1"/>
      <c r="T931" s="1"/>
      <c r="U931" s="1"/>
    </row>
    <row r="932" spans="1:21" ht="9.75" customHeight="1" x14ac:dyDescent="0.4">
      <c r="A932" s="1"/>
      <c r="B932" s="1"/>
      <c r="C932" s="17"/>
      <c r="D932" s="17" t="s">
        <v>369</v>
      </c>
      <c r="E932" s="17"/>
      <c r="F932" s="32"/>
      <c r="G932" s="6"/>
      <c r="H932" s="6"/>
      <c r="I932" s="6"/>
      <c r="J932" s="6"/>
      <c r="K932" s="6"/>
      <c r="L932" s="6"/>
      <c r="M932" s="6"/>
      <c r="N932" s="6"/>
      <c r="O932" s="31"/>
      <c r="P932" s="32"/>
      <c r="Q932" s="6"/>
      <c r="R932" s="59"/>
      <c r="S932" s="1"/>
      <c r="T932" s="1"/>
      <c r="U932" s="1"/>
    </row>
    <row r="933" spans="1:21" ht="9.75" customHeight="1" x14ac:dyDescent="0.4">
      <c r="A933" s="1"/>
      <c r="B933" s="1"/>
      <c r="C933" s="17"/>
      <c r="D933" s="17" t="s">
        <v>308</v>
      </c>
      <c r="E933" s="17"/>
      <c r="F933" s="32"/>
      <c r="G933" s="6"/>
      <c r="H933" s="6"/>
      <c r="I933" s="6"/>
      <c r="J933" s="6"/>
      <c r="K933" s="6"/>
      <c r="L933" s="6"/>
      <c r="M933" s="6"/>
      <c r="N933" s="6"/>
      <c r="O933" s="31"/>
      <c r="P933" s="32"/>
      <c r="Q933" s="6"/>
      <c r="R933" s="59"/>
      <c r="S933" s="1"/>
      <c r="T933" s="1"/>
      <c r="U933" s="1"/>
    </row>
    <row r="934" spans="1:21" ht="9.75" customHeight="1" x14ac:dyDescent="0.4">
      <c r="A934" s="1"/>
      <c r="B934" s="1"/>
      <c r="C934" s="17"/>
      <c r="D934" s="17" t="s">
        <v>374</v>
      </c>
      <c r="E934" s="17"/>
      <c r="F934" s="32"/>
      <c r="G934" s="6"/>
      <c r="H934" s="6"/>
      <c r="I934" s="6"/>
      <c r="J934" s="6"/>
      <c r="K934" s="6"/>
      <c r="L934" s="6"/>
      <c r="M934" s="6"/>
      <c r="N934" s="6"/>
      <c r="O934" s="31"/>
      <c r="P934" s="32"/>
      <c r="Q934" s="6"/>
      <c r="R934" s="59"/>
      <c r="S934" s="1"/>
      <c r="T934" s="1"/>
      <c r="U934" s="1"/>
    </row>
    <row r="935" spans="1:21" ht="9.75" customHeight="1" x14ac:dyDescent="0.4">
      <c r="A935" s="1"/>
      <c r="B935" s="1"/>
      <c r="C935" s="17"/>
      <c r="D935" s="17" t="s">
        <v>374</v>
      </c>
      <c r="E935" s="17"/>
      <c r="F935" s="32"/>
      <c r="G935" s="6"/>
      <c r="H935" s="6"/>
      <c r="I935" s="6"/>
      <c r="J935" s="6"/>
      <c r="K935" s="6"/>
      <c r="L935" s="6"/>
      <c r="M935" s="6"/>
      <c r="N935" s="6"/>
      <c r="O935" s="31"/>
      <c r="P935" s="32"/>
      <c r="Q935" s="6"/>
      <c r="R935" s="59"/>
      <c r="S935" s="1"/>
      <c r="T935" s="1"/>
      <c r="U935" s="1"/>
    </row>
    <row r="936" spans="1:21" ht="9.75" customHeight="1" x14ac:dyDescent="0.4">
      <c r="A936" s="1"/>
      <c r="B936" s="1"/>
      <c r="C936" s="17"/>
      <c r="D936" s="17" t="s">
        <v>374</v>
      </c>
      <c r="E936" s="17"/>
      <c r="F936" s="32"/>
      <c r="G936" s="6"/>
      <c r="H936" s="6"/>
      <c r="I936" s="6"/>
      <c r="J936" s="6"/>
      <c r="K936" s="6"/>
      <c r="L936" s="6"/>
      <c r="M936" s="6"/>
      <c r="N936" s="6"/>
      <c r="O936" s="31"/>
      <c r="P936" s="32"/>
      <c r="Q936" s="6"/>
      <c r="R936" s="59"/>
      <c r="S936" s="1"/>
      <c r="T936" s="1"/>
      <c r="U936" s="1"/>
    </row>
    <row r="937" spans="1:21" ht="9.75" customHeight="1" x14ac:dyDescent="0.4">
      <c r="A937" s="1"/>
      <c r="B937" s="1"/>
      <c r="C937" s="17"/>
      <c r="D937" s="17" t="s">
        <v>374</v>
      </c>
      <c r="E937" s="17"/>
      <c r="F937" s="32"/>
      <c r="G937" s="6"/>
      <c r="H937" s="6"/>
      <c r="I937" s="6"/>
      <c r="J937" s="6"/>
      <c r="K937" s="6"/>
      <c r="L937" s="6"/>
      <c r="M937" s="6"/>
      <c r="N937" s="6"/>
      <c r="O937" s="31"/>
      <c r="P937" s="32"/>
      <c r="Q937" s="6"/>
      <c r="R937" s="59"/>
      <c r="S937" s="1"/>
      <c r="T937" s="1"/>
      <c r="U937" s="1"/>
    </row>
    <row r="938" spans="1:21" ht="9.75" customHeight="1" x14ac:dyDescent="0.4">
      <c r="A938" s="1"/>
      <c r="B938" s="1"/>
      <c r="C938" s="17"/>
      <c r="D938" s="17" t="s">
        <v>374</v>
      </c>
      <c r="E938" s="17"/>
      <c r="F938" s="32"/>
      <c r="G938" s="6"/>
      <c r="H938" s="6"/>
      <c r="I938" s="6"/>
      <c r="J938" s="6"/>
      <c r="K938" s="6"/>
      <c r="L938" s="6"/>
      <c r="M938" s="6"/>
      <c r="N938" s="6"/>
      <c r="O938" s="31"/>
      <c r="P938" s="32"/>
      <c r="Q938" s="6"/>
      <c r="R938" s="59"/>
      <c r="S938" s="1"/>
      <c r="T938" s="1"/>
      <c r="U938" s="1"/>
    </row>
    <row r="939" spans="1:21" ht="9.75" customHeight="1" x14ac:dyDescent="0.4">
      <c r="A939" s="1"/>
      <c r="B939" s="1"/>
      <c r="C939" s="17"/>
      <c r="D939" s="17" t="s">
        <v>374</v>
      </c>
      <c r="E939" s="17"/>
      <c r="F939" s="32"/>
      <c r="G939" s="6"/>
      <c r="H939" s="6"/>
      <c r="I939" s="6"/>
      <c r="J939" s="6"/>
      <c r="K939" s="6"/>
      <c r="L939" s="6"/>
      <c r="M939" s="6"/>
      <c r="N939" s="6"/>
      <c r="O939" s="31"/>
      <c r="P939" s="32"/>
      <c r="Q939" s="6"/>
      <c r="R939" s="59"/>
      <c r="S939" s="1"/>
      <c r="T939" s="1"/>
      <c r="U939" s="1"/>
    </row>
    <row r="940" spans="1:21" ht="9.75" customHeight="1" x14ac:dyDescent="0.4">
      <c r="A940" s="1"/>
      <c r="B940" s="1"/>
      <c r="C940" s="17"/>
      <c r="D940" s="17" t="s">
        <v>310</v>
      </c>
      <c r="E940" s="17"/>
      <c r="F940" s="32"/>
      <c r="G940" s="6"/>
      <c r="H940" s="6"/>
      <c r="I940" s="6"/>
      <c r="J940" s="6"/>
      <c r="K940" s="6"/>
      <c r="L940" s="6"/>
      <c r="M940" s="6"/>
      <c r="N940" s="6"/>
      <c r="O940" s="31"/>
      <c r="P940" s="32"/>
      <c r="Q940" s="6"/>
      <c r="R940" s="59"/>
      <c r="S940" s="1"/>
      <c r="T940" s="1"/>
      <c r="U940" s="1"/>
    </row>
    <row r="941" spans="1:21" ht="9.75" customHeight="1" x14ac:dyDescent="0.4">
      <c r="A941" s="1"/>
      <c r="B941" s="1"/>
      <c r="C941" s="17"/>
      <c r="D941" s="17" t="s">
        <v>311</v>
      </c>
      <c r="E941" s="17"/>
      <c r="F941" s="32"/>
      <c r="G941" s="6"/>
      <c r="H941" s="6"/>
      <c r="I941" s="6"/>
      <c r="J941" s="6"/>
      <c r="K941" s="6"/>
      <c r="L941" s="6"/>
      <c r="M941" s="6"/>
      <c r="N941" s="6"/>
      <c r="O941" s="31"/>
      <c r="P941" s="32"/>
      <c r="Q941" s="6"/>
      <c r="R941" s="59"/>
      <c r="S941" s="1"/>
      <c r="T941" s="1"/>
      <c r="U941" s="1"/>
    </row>
    <row r="942" spans="1:21" ht="9.75" customHeight="1" x14ac:dyDescent="0.4">
      <c r="A942" s="1"/>
      <c r="B942" s="1"/>
      <c r="C942" s="17"/>
      <c r="D942" s="17" t="s">
        <v>312</v>
      </c>
      <c r="E942" s="17"/>
      <c r="F942" s="32"/>
      <c r="G942" s="6"/>
      <c r="H942" s="6"/>
      <c r="I942" s="6"/>
      <c r="J942" s="6"/>
      <c r="K942" s="6"/>
      <c r="L942" s="6"/>
      <c r="M942" s="6"/>
      <c r="N942" s="6"/>
      <c r="O942" s="31"/>
      <c r="P942" s="32"/>
      <c r="Q942" s="6"/>
      <c r="R942" s="59"/>
      <c r="S942" s="1"/>
      <c r="T942" s="1"/>
      <c r="U942" s="1"/>
    </row>
    <row r="943" spans="1:21" ht="9.75" customHeight="1" x14ac:dyDescent="0.4">
      <c r="A943" s="1"/>
      <c r="B943" s="1"/>
      <c r="C943" s="17"/>
      <c r="D943" s="17" t="s">
        <v>313</v>
      </c>
      <c r="E943" s="17"/>
      <c r="F943" s="32"/>
      <c r="G943" s="6"/>
      <c r="H943" s="6"/>
      <c r="I943" s="6"/>
      <c r="J943" s="6"/>
      <c r="K943" s="6"/>
      <c r="L943" s="6"/>
      <c r="M943" s="6"/>
      <c r="N943" s="6"/>
      <c r="O943" s="31"/>
      <c r="P943" s="32"/>
      <c r="Q943" s="6"/>
      <c r="R943" s="59"/>
      <c r="S943" s="1"/>
      <c r="T943" s="1"/>
      <c r="U943" s="1"/>
    </row>
    <row r="944" spans="1:21" ht="9.75" customHeight="1" x14ac:dyDescent="0.4">
      <c r="A944" s="1"/>
      <c r="B944" s="1" t="s">
        <v>395</v>
      </c>
      <c r="C944" s="34"/>
      <c r="D944" s="65" t="s">
        <v>314</v>
      </c>
      <c r="E944" s="65">
        <f t="shared" ref="E944:O944" si="147">SUM(E928:E943)</f>
        <v>398</v>
      </c>
      <c r="F944" s="104">
        <f t="shared" si="147"/>
        <v>0</v>
      </c>
      <c r="G944" s="128">
        <f t="shared" si="147"/>
        <v>0</v>
      </c>
      <c r="H944" s="128">
        <f t="shared" si="147"/>
        <v>0</v>
      </c>
      <c r="I944" s="128">
        <f t="shared" si="147"/>
        <v>1</v>
      </c>
      <c r="J944" s="128">
        <f t="shared" si="147"/>
        <v>0</v>
      </c>
      <c r="K944" s="128">
        <f t="shared" si="147"/>
        <v>0</v>
      </c>
      <c r="L944" s="128">
        <f t="shared" si="147"/>
        <v>0</v>
      </c>
      <c r="M944" s="128">
        <f t="shared" si="147"/>
        <v>1</v>
      </c>
      <c r="N944" s="128">
        <f t="shared" si="147"/>
        <v>0</v>
      </c>
      <c r="O944" s="129">
        <f t="shared" si="147"/>
        <v>1</v>
      </c>
      <c r="P944" s="104">
        <f>MIN(F944:O944)</f>
        <v>0</v>
      </c>
      <c r="Q944" s="128">
        <f>E944-P944</f>
        <v>398</v>
      </c>
      <c r="R944" s="72">
        <f>Q944/E944</f>
        <v>1</v>
      </c>
      <c r="S944" s="1"/>
      <c r="T944" s="1"/>
      <c r="U944" s="1"/>
    </row>
    <row r="945" spans="1:21" ht="9.75" customHeight="1" x14ac:dyDescent="0.4">
      <c r="A945" s="1"/>
      <c r="B945" s="1"/>
      <c r="C945" s="15" t="s">
        <v>162</v>
      </c>
      <c r="D945" s="15" t="s">
        <v>300</v>
      </c>
      <c r="E945" s="15"/>
      <c r="F945" s="73"/>
      <c r="G945" s="108"/>
      <c r="H945" s="108"/>
      <c r="I945" s="108"/>
      <c r="J945" s="108"/>
      <c r="K945" s="108"/>
      <c r="L945" s="108"/>
      <c r="M945" s="108"/>
      <c r="N945" s="108"/>
      <c r="O945" s="109"/>
      <c r="P945" s="73"/>
      <c r="Q945" s="108"/>
      <c r="R945" s="188"/>
      <c r="S945" s="1"/>
      <c r="T945" s="1"/>
      <c r="U945" s="1"/>
    </row>
    <row r="946" spans="1:21" ht="9.75" customHeight="1" x14ac:dyDescent="0.4">
      <c r="A946" s="1"/>
      <c r="B946" s="1"/>
      <c r="C946" s="17"/>
      <c r="D946" s="17" t="s">
        <v>301</v>
      </c>
      <c r="E946" s="17">
        <v>18</v>
      </c>
      <c r="F946" s="32">
        <v>15</v>
      </c>
      <c r="G946" s="6">
        <v>13</v>
      </c>
      <c r="H946" s="6">
        <v>12</v>
      </c>
      <c r="I946" s="6">
        <v>10</v>
      </c>
      <c r="J946" s="6">
        <v>11</v>
      </c>
      <c r="K946" s="6">
        <v>11</v>
      </c>
      <c r="L946" s="6">
        <v>11</v>
      </c>
      <c r="M946" s="6">
        <v>12</v>
      </c>
      <c r="N946" s="6">
        <v>14</v>
      </c>
      <c r="O946" s="31">
        <v>16</v>
      </c>
      <c r="P946" s="32">
        <f>MIN(F946:O946)</f>
        <v>10</v>
      </c>
      <c r="Q946" s="6">
        <f>E946-P946</f>
        <v>8</v>
      </c>
      <c r="R946" s="59">
        <f>Q946/E946</f>
        <v>0.44444444444444442</v>
      </c>
      <c r="S946" s="1"/>
      <c r="T946" s="1"/>
      <c r="U946" s="1"/>
    </row>
    <row r="947" spans="1:21" ht="9.75" customHeight="1" x14ac:dyDescent="0.4">
      <c r="A947" s="1"/>
      <c r="B947" s="1"/>
      <c r="C947" s="17"/>
      <c r="D947" s="17" t="s">
        <v>303</v>
      </c>
      <c r="E947" s="17"/>
      <c r="F947" s="32"/>
      <c r="G947" s="6"/>
      <c r="H947" s="6"/>
      <c r="I947" s="6"/>
      <c r="J947" s="6"/>
      <c r="K947" s="6"/>
      <c r="L947" s="6"/>
      <c r="M947" s="6"/>
      <c r="N947" s="6"/>
      <c r="O947" s="31"/>
      <c r="P947" s="32"/>
      <c r="Q947" s="6"/>
      <c r="R947" s="59"/>
      <c r="S947" s="1"/>
      <c r="T947" s="1"/>
      <c r="U947" s="1"/>
    </row>
    <row r="948" spans="1:21" ht="9.75" customHeight="1" x14ac:dyDescent="0.4">
      <c r="A948" s="1"/>
      <c r="B948" s="1"/>
      <c r="C948" s="17"/>
      <c r="D948" s="17" t="s">
        <v>369</v>
      </c>
      <c r="E948" s="17"/>
      <c r="F948" s="32"/>
      <c r="G948" s="6"/>
      <c r="H948" s="6"/>
      <c r="I948" s="6"/>
      <c r="J948" s="6"/>
      <c r="K948" s="6"/>
      <c r="L948" s="6"/>
      <c r="M948" s="6"/>
      <c r="N948" s="6"/>
      <c r="O948" s="31"/>
      <c r="P948" s="32"/>
      <c r="Q948" s="6"/>
      <c r="R948" s="59"/>
      <c r="S948" s="1"/>
      <c r="T948" s="1"/>
      <c r="U948" s="1"/>
    </row>
    <row r="949" spans="1:21" ht="9.75" customHeight="1" x14ac:dyDescent="0.4">
      <c r="A949" s="1"/>
      <c r="B949" s="1"/>
      <c r="C949" s="17"/>
      <c r="D949" s="17" t="s">
        <v>369</v>
      </c>
      <c r="E949" s="17"/>
      <c r="F949" s="32"/>
      <c r="G949" s="6"/>
      <c r="H949" s="6"/>
      <c r="I949" s="6"/>
      <c r="J949" s="6"/>
      <c r="K949" s="6"/>
      <c r="L949" s="6"/>
      <c r="M949" s="6"/>
      <c r="N949" s="6"/>
      <c r="O949" s="31"/>
      <c r="P949" s="32"/>
      <c r="Q949" s="6"/>
      <c r="R949" s="59"/>
      <c r="S949" s="1"/>
      <c r="T949" s="1"/>
      <c r="U949" s="1"/>
    </row>
    <row r="950" spans="1:21" ht="9.75" customHeight="1" x14ac:dyDescent="0.4">
      <c r="A950" s="1"/>
      <c r="B950" s="1"/>
      <c r="C950" s="17"/>
      <c r="D950" s="17" t="s">
        <v>308</v>
      </c>
      <c r="E950" s="17">
        <v>7</v>
      </c>
      <c r="F950" s="32">
        <v>7</v>
      </c>
      <c r="G950" s="6">
        <v>6</v>
      </c>
      <c r="H950" s="6">
        <v>6</v>
      </c>
      <c r="I950" s="6">
        <v>5</v>
      </c>
      <c r="J950" s="6">
        <v>6</v>
      </c>
      <c r="K950" s="6">
        <v>6</v>
      </c>
      <c r="L950" s="6">
        <v>7</v>
      </c>
      <c r="M950" s="6">
        <v>7</v>
      </c>
      <c r="N950" s="6">
        <v>7</v>
      </c>
      <c r="O950" s="31">
        <v>7</v>
      </c>
      <c r="P950" s="32">
        <f>MIN(F950:O950)</f>
        <v>5</v>
      </c>
      <c r="Q950" s="6">
        <f>E950-P950</f>
        <v>2</v>
      </c>
      <c r="R950" s="59">
        <f>Q950/E950</f>
        <v>0.2857142857142857</v>
      </c>
      <c r="S950" s="1"/>
      <c r="T950" s="1"/>
      <c r="U950" s="1"/>
    </row>
    <row r="951" spans="1:21" ht="9.75" customHeight="1" x14ac:dyDescent="0.4">
      <c r="A951" s="1"/>
      <c r="B951" s="1"/>
      <c r="C951" s="17"/>
      <c r="D951" s="17" t="s">
        <v>374</v>
      </c>
      <c r="E951" s="17"/>
      <c r="F951" s="32"/>
      <c r="G951" s="6"/>
      <c r="H951" s="6"/>
      <c r="I951" s="6"/>
      <c r="J951" s="6"/>
      <c r="K951" s="6"/>
      <c r="L951" s="6"/>
      <c r="M951" s="6"/>
      <c r="N951" s="6"/>
      <c r="O951" s="31"/>
      <c r="P951" s="32"/>
      <c r="Q951" s="6"/>
      <c r="R951" s="59"/>
      <c r="S951" s="1"/>
      <c r="T951" s="1"/>
      <c r="U951" s="1"/>
    </row>
    <row r="952" spans="1:21" ht="9.75" customHeight="1" x14ac:dyDescent="0.4">
      <c r="A952" s="1"/>
      <c r="B952" s="1"/>
      <c r="C952" s="17"/>
      <c r="D952" s="17" t="s">
        <v>374</v>
      </c>
      <c r="E952" s="17"/>
      <c r="F952" s="32"/>
      <c r="G952" s="6"/>
      <c r="H952" s="6"/>
      <c r="I952" s="6"/>
      <c r="J952" s="6"/>
      <c r="K952" s="6"/>
      <c r="L952" s="6"/>
      <c r="M952" s="6"/>
      <c r="N952" s="6"/>
      <c r="O952" s="31"/>
      <c r="P952" s="32"/>
      <c r="Q952" s="6"/>
      <c r="R952" s="59"/>
      <c r="S952" s="1"/>
      <c r="T952" s="1"/>
      <c r="U952" s="1"/>
    </row>
    <row r="953" spans="1:21" ht="9.75" customHeight="1" x14ac:dyDescent="0.4">
      <c r="A953" s="1"/>
      <c r="B953" s="1"/>
      <c r="C953" s="17"/>
      <c r="D953" s="17" t="s">
        <v>374</v>
      </c>
      <c r="E953" s="17"/>
      <c r="F953" s="32"/>
      <c r="G953" s="6"/>
      <c r="H953" s="6"/>
      <c r="I953" s="6"/>
      <c r="J953" s="6"/>
      <c r="K953" s="6"/>
      <c r="L953" s="6"/>
      <c r="M953" s="6"/>
      <c r="N953" s="6"/>
      <c r="O953" s="31"/>
      <c r="P953" s="32"/>
      <c r="Q953" s="6"/>
      <c r="R953" s="59"/>
      <c r="S953" s="1"/>
      <c r="T953" s="1"/>
      <c r="U953" s="1"/>
    </row>
    <row r="954" spans="1:21" ht="9.75" customHeight="1" x14ac:dyDescent="0.4">
      <c r="A954" s="1"/>
      <c r="B954" s="1"/>
      <c r="C954" s="17"/>
      <c r="D954" s="17" t="s">
        <v>374</v>
      </c>
      <c r="E954" s="17"/>
      <c r="F954" s="32"/>
      <c r="G954" s="6"/>
      <c r="H954" s="6"/>
      <c r="I954" s="6"/>
      <c r="J954" s="6"/>
      <c r="K954" s="6"/>
      <c r="L954" s="6"/>
      <c r="M954" s="6"/>
      <c r="N954" s="6"/>
      <c r="O954" s="31"/>
      <c r="P954" s="32"/>
      <c r="Q954" s="6"/>
      <c r="R954" s="59"/>
      <c r="S954" s="1"/>
      <c r="T954" s="1"/>
      <c r="U954" s="1"/>
    </row>
    <row r="955" spans="1:21" ht="9.75" customHeight="1" x14ac:dyDescent="0.4">
      <c r="A955" s="1"/>
      <c r="B955" s="1"/>
      <c r="C955" s="17"/>
      <c r="D955" s="17" t="s">
        <v>374</v>
      </c>
      <c r="E955" s="17"/>
      <c r="F955" s="32"/>
      <c r="G955" s="6"/>
      <c r="H955" s="6"/>
      <c r="I955" s="6"/>
      <c r="J955" s="6"/>
      <c r="K955" s="6"/>
      <c r="L955" s="6"/>
      <c r="M955" s="6"/>
      <c r="N955" s="6"/>
      <c r="O955" s="31"/>
      <c r="P955" s="32"/>
      <c r="Q955" s="6"/>
      <c r="R955" s="59"/>
      <c r="S955" s="1"/>
      <c r="T955" s="1"/>
      <c r="U955" s="1"/>
    </row>
    <row r="956" spans="1:21" ht="9.75" customHeight="1" x14ac:dyDescent="0.4">
      <c r="A956" s="1"/>
      <c r="B956" s="1"/>
      <c r="C956" s="17"/>
      <c r="D956" s="17" t="s">
        <v>374</v>
      </c>
      <c r="E956" s="17"/>
      <c r="F956" s="32"/>
      <c r="G956" s="6"/>
      <c r="H956" s="6"/>
      <c r="I956" s="6"/>
      <c r="J956" s="6"/>
      <c r="K956" s="6"/>
      <c r="L956" s="6"/>
      <c r="M956" s="6"/>
      <c r="N956" s="6"/>
      <c r="O956" s="31"/>
      <c r="P956" s="32"/>
      <c r="Q956" s="6"/>
      <c r="R956" s="59"/>
      <c r="S956" s="1"/>
      <c r="T956" s="1"/>
      <c r="U956" s="1"/>
    </row>
    <row r="957" spans="1:21" ht="9.75" customHeight="1" x14ac:dyDescent="0.4">
      <c r="A957" s="1"/>
      <c r="B957" s="1"/>
      <c r="C957" s="17"/>
      <c r="D957" s="17" t="s">
        <v>310</v>
      </c>
      <c r="E957" s="17">
        <v>3</v>
      </c>
      <c r="F957" s="32">
        <v>2</v>
      </c>
      <c r="G957" s="6">
        <v>1</v>
      </c>
      <c r="H957" s="6">
        <v>1</v>
      </c>
      <c r="I957" s="6">
        <v>1</v>
      </c>
      <c r="J957" s="6">
        <v>2</v>
      </c>
      <c r="K957" s="6">
        <v>2</v>
      </c>
      <c r="L957" s="6">
        <v>2</v>
      </c>
      <c r="M957" s="6">
        <v>3</v>
      </c>
      <c r="N957" s="6">
        <v>3</v>
      </c>
      <c r="O957" s="31">
        <v>3</v>
      </c>
      <c r="P957" s="32">
        <f>MIN(F957:O957)</f>
        <v>1</v>
      </c>
      <c r="Q957" s="6">
        <f>E957-P957</f>
        <v>2</v>
      </c>
      <c r="R957" s="59">
        <f>Q957/E957</f>
        <v>0.66666666666666663</v>
      </c>
      <c r="S957" s="1"/>
      <c r="T957" s="1"/>
      <c r="U957" s="1"/>
    </row>
    <row r="958" spans="1:21" ht="9.75" customHeight="1" x14ac:dyDescent="0.4">
      <c r="A958" s="1"/>
      <c r="B958" s="1"/>
      <c r="C958" s="17"/>
      <c r="D958" s="17" t="s">
        <v>311</v>
      </c>
      <c r="E958" s="17"/>
      <c r="F958" s="32"/>
      <c r="G958" s="6"/>
      <c r="H958" s="6"/>
      <c r="I958" s="6"/>
      <c r="J958" s="6"/>
      <c r="K958" s="6"/>
      <c r="L958" s="6"/>
      <c r="M958" s="6"/>
      <c r="N958" s="6"/>
      <c r="O958" s="31"/>
      <c r="P958" s="32"/>
      <c r="Q958" s="6"/>
      <c r="R958" s="59"/>
      <c r="S958" s="1"/>
      <c r="T958" s="1"/>
      <c r="U958" s="1"/>
    </row>
    <row r="959" spans="1:21" ht="9.75" customHeight="1" x14ac:dyDescent="0.4">
      <c r="A959" s="1"/>
      <c r="B959" s="1"/>
      <c r="C959" s="17"/>
      <c r="D959" s="17" t="s">
        <v>312</v>
      </c>
      <c r="E959" s="17">
        <v>1</v>
      </c>
      <c r="F959" s="32">
        <v>1</v>
      </c>
      <c r="G959" s="6">
        <v>1</v>
      </c>
      <c r="H959" s="6">
        <v>1</v>
      </c>
      <c r="I959" s="6">
        <v>0</v>
      </c>
      <c r="J959" s="6">
        <v>0</v>
      </c>
      <c r="K959" s="6">
        <v>0</v>
      </c>
      <c r="L959" s="6">
        <v>1</v>
      </c>
      <c r="M959" s="6">
        <v>1</v>
      </c>
      <c r="N959" s="6">
        <v>1</v>
      </c>
      <c r="O959" s="31">
        <v>1</v>
      </c>
      <c r="P959" s="32">
        <f t="shared" ref="P959:P962" si="148">MIN(F959:O959)</f>
        <v>0</v>
      </c>
      <c r="Q959" s="6">
        <f t="shared" ref="Q959:Q962" si="149">E959-P959</f>
        <v>1</v>
      </c>
      <c r="R959" s="59">
        <f t="shared" ref="R959:R962" si="150">Q959/E959</f>
        <v>1</v>
      </c>
      <c r="S959" s="1"/>
      <c r="T959" s="1"/>
      <c r="U959" s="1"/>
    </row>
    <row r="960" spans="1:21" ht="9.75" customHeight="1" x14ac:dyDescent="0.4">
      <c r="A960" s="1"/>
      <c r="B960" s="1"/>
      <c r="C960" s="17"/>
      <c r="D960" s="17" t="s">
        <v>436</v>
      </c>
      <c r="E960" s="17">
        <v>5</v>
      </c>
      <c r="F960" s="32">
        <v>5</v>
      </c>
      <c r="G960" s="6">
        <v>5</v>
      </c>
      <c r="H960" s="6">
        <v>5</v>
      </c>
      <c r="I960" s="6">
        <v>4</v>
      </c>
      <c r="J960" s="6">
        <v>5</v>
      </c>
      <c r="K960" s="6">
        <v>5</v>
      </c>
      <c r="L960" s="6">
        <v>5</v>
      </c>
      <c r="M960" s="6">
        <v>5</v>
      </c>
      <c r="N960" s="6">
        <v>5</v>
      </c>
      <c r="O960" s="31">
        <v>5</v>
      </c>
      <c r="P960" s="32">
        <f t="shared" si="148"/>
        <v>4</v>
      </c>
      <c r="Q960" s="6">
        <f t="shared" si="149"/>
        <v>1</v>
      </c>
      <c r="R960" s="59">
        <f t="shared" si="150"/>
        <v>0.2</v>
      </c>
      <c r="S960" s="1"/>
      <c r="T960" s="1"/>
      <c r="U960" s="1"/>
    </row>
    <row r="961" spans="1:21" ht="9.75" customHeight="1" x14ac:dyDescent="0.4">
      <c r="A961" s="1"/>
      <c r="B961" s="1"/>
      <c r="C961" s="17"/>
      <c r="D961" s="17" t="s">
        <v>313</v>
      </c>
      <c r="E961" s="17">
        <v>1</v>
      </c>
      <c r="F961" s="32">
        <v>1</v>
      </c>
      <c r="G961" s="6">
        <v>1</v>
      </c>
      <c r="H961" s="6">
        <v>1</v>
      </c>
      <c r="I961" s="6">
        <v>1</v>
      </c>
      <c r="J961" s="6">
        <v>1</v>
      </c>
      <c r="K961" s="6">
        <v>1</v>
      </c>
      <c r="L961" s="6">
        <v>1</v>
      </c>
      <c r="M961" s="6">
        <v>1</v>
      </c>
      <c r="N961" s="6">
        <v>1</v>
      </c>
      <c r="O961" s="31">
        <v>1</v>
      </c>
      <c r="P961" s="32">
        <f t="shared" si="148"/>
        <v>1</v>
      </c>
      <c r="Q961" s="6">
        <f t="shared" si="149"/>
        <v>0</v>
      </c>
      <c r="R961" s="59">
        <f t="shared" si="150"/>
        <v>0</v>
      </c>
      <c r="S961" s="1"/>
      <c r="T961" s="1"/>
      <c r="U961" s="1"/>
    </row>
    <row r="962" spans="1:21" ht="9.75" customHeight="1" x14ac:dyDescent="0.4">
      <c r="A962" s="1"/>
      <c r="B962" s="1" t="s">
        <v>395</v>
      </c>
      <c r="C962" s="34"/>
      <c r="D962" s="65" t="s">
        <v>314</v>
      </c>
      <c r="E962" s="65">
        <f t="shared" ref="E962:O962" si="151">SUM(E945:E961)</f>
        <v>35</v>
      </c>
      <c r="F962" s="104">
        <f t="shared" si="151"/>
        <v>31</v>
      </c>
      <c r="G962" s="128">
        <f t="shared" si="151"/>
        <v>27</v>
      </c>
      <c r="H962" s="128">
        <f t="shared" si="151"/>
        <v>26</v>
      </c>
      <c r="I962" s="128">
        <f t="shared" si="151"/>
        <v>21</v>
      </c>
      <c r="J962" s="128">
        <f t="shared" si="151"/>
        <v>25</v>
      </c>
      <c r="K962" s="128">
        <f t="shared" si="151"/>
        <v>25</v>
      </c>
      <c r="L962" s="128">
        <f t="shared" si="151"/>
        <v>27</v>
      </c>
      <c r="M962" s="128">
        <f t="shared" si="151"/>
        <v>29</v>
      </c>
      <c r="N962" s="128">
        <f t="shared" si="151"/>
        <v>31</v>
      </c>
      <c r="O962" s="129">
        <f t="shared" si="151"/>
        <v>33</v>
      </c>
      <c r="P962" s="104">
        <f t="shared" si="148"/>
        <v>21</v>
      </c>
      <c r="Q962" s="128">
        <f t="shared" si="149"/>
        <v>14</v>
      </c>
      <c r="R962" s="72">
        <f t="shared" si="150"/>
        <v>0.4</v>
      </c>
      <c r="S962" s="1"/>
      <c r="T962" s="1"/>
      <c r="U962" s="1"/>
    </row>
    <row r="963" spans="1:21" ht="9.75" customHeight="1" x14ac:dyDescent="0.4">
      <c r="A963" s="1"/>
      <c r="B963" s="1"/>
      <c r="C963" s="15" t="s">
        <v>176</v>
      </c>
      <c r="D963" s="191" t="s">
        <v>300</v>
      </c>
      <c r="E963" s="15"/>
      <c r="F963" s="73"/>
      <c r="G963" s="108"/>
      <c r="H963" s="108"/>
      <c r="I963" s="108"/>
      <c r="J963" s="108"/>
      <c r="K963" s="108"/>
      <c r="L963" s="108"/>
      <c r="M963" s="108"/>
      <c r="N963" s="108"/>
      <c r="O963" s="109"/>
      <c r="P963" s="73"/>
      <c r="Q963" s="108"/>
      <c r="R963" s="188"/>
      <c r="S963" s="1"/>
      <c r="T963" s="1"/>
      <c r="U963" s="1"/>
    </row>
    <row r="964" spans="1:21" ht="9.75" customHeight="1" x14ac:dyDescent="0.4">
      <c r="A964" s="1"/>
      <c r="B964" s="1"/>
      <c r="C964" s="17"/>
      <c r="D964" s="17" t="s">
        <v>301</v>
      </c>
      <c r="E964" s="17">
        <v>80</v>
      </c>
      <c r="F964" s="32">
        <v>70</v>
      </c>
      <c r="G964" s="6">
        <v>65</v>
      </c>
      <c r="H964" s="6">
        <v>63</v>
      </c>
      <c r="I964" s="6">
        <v>60</v>
      </c>
      <c r="J964" s="6">
        <v>58</v>
      </c>
      <c r="K964" s="6">
        <v>55</v>
      </c>
      <c r="L964" s="6">
        <v>55</v>
      </c>
      <c r="M964" s="6">
        <v>59</v>
      </c>
      <c r="N964" s="6">
        <v>60</v>
      </c>
      <c r="O964" s="31">
        <v>65</v>
      </c>
      <c r="P964" s="32">
        <f>MIN(F964:O964)</f>
        <v>55</v>
      </c>
      <c r="Q964" s="6">
        <f>E964-P964</f>
        <v>25</v>
      </c>
      <c r="R964" s="59">
        <f>Q964/E964</f>
        <v>0.3125</v>
      </c>
      <c r="S964" s="1"/>
      <c r="T964" s="1"/>
      <c r="U964" s="1"/>
    </row>
    <row r="965" spans="1:21" ht="9.75" customHeight="1" x14ac:dyDescent="0.4">
      <c r="A965" s="1"/>
      <c r="B965" s="1"/>
      <c r="C965" s="17"/>
      <c r="D965" s="17" t="s">
        <v>303</v>
      </c>
      <c r="E965" s="17"/>
      <c r="F965" s="32"/>
      <c r="G965" s="6"/>
      <c r="H965" s="6"/>
      <c r="I965" s="6"/>
      <c r="J965" s="6"/>
      <c r="K965" s="6"/>
      <c r="L965" s="6"/>
      <c r="M965" s="6"/>
      <c r="N965" s="6"/>
      <c r="O965" s="31"/>
      <c r="P965" s="32"/>
      <c r="Q965" s="6"/>
      <c r="R965" s="59"/>
      <c r="S965" s="1"/>
      <c r="T965" s="1"/>
      <c r="U965" s="1"/>
    </row>
    <row r="966" spans="1:21" ht="9.75" customHeight="1" x14ac:dyDescent="0.4">
      <c r="A966" s="1"/>
      <c r="B966" s="1"/>
      <c r="C966" s="17"/>
      <c r="D966" s="17" t="s">
        <v>369</v>
      </c>
      <c r="E966" s="17"/>
      <c r="F966" s="32"/>
      <c r="G966" s="6"/>
      <c r="H966" s="6"/>
      <c r="I966" s="6"/>
      <c r="J966" s="6"/>
      <c r="K966" s="6"/>
      <c r="L966" s="6"/>
      <c r="M966" s="6"/>
      <c r="N966" s="6"/>
      <c r="O966" s="31"/>
      <c r="P966" s="32"/>
      <c r="Q966" s="6"/>
      <c r="R966" s="59"/>
      <c r="S966" s="1"/>
      <c r="T966" s="1"/>
      <c r="U966" s="1"/>
    </row>
    <row r="967" spans="1:21" ht="9.75" customHeight="1" x14ac:dyDescent="0.4">
      <c r="A967" s="1"/>
      <c r="B967" s="1"/>
      <c r="C967" s="17"/>
      <c r="D967" s="17" t="s">
        <v>369</v>
      </c>
      <c r="E967" s="17"/>
      <c r="F967" s="32"/>
      <c r="G967" s="6"/>
      <c r="H967" s="6"/>
      <c r="I967" s="6"/>
      <c r="J967" s="6"/>
      <c r="K967" s="6"/>
      <c r="L967" s="6"/>
      <c r="M967" s="6"/>
      <c r="N967" s="6"/>
      <c r="O967" s="31"/>
      <c r="P967" s="32"/>
      <c r="Q967" s="6"/>
      <c r="R967" s="59"/>
      <c r="S967" s="1"/>
      <c r="T967" s="1"/>
      <c r="U967" s="1"/>
    </row>
    <row r="968" spans="1:21" ht="9.75" customHeight="1" x14ac:dyDescent="0.4">
      <c r="A968" s="1"/>
      <c r="B968" s="1"/>
      <c r="C968" s="17"/>
      <c r="D968" s="17" t="s">
        <v>308</v>
      </c>
      <c r="E968" s="17"/>
      <c r="F968" s="32"/>
      <c r="G968" s="6"/>
      <c r="H968" s="6"/>
      <c r="I968" s="6"/>
      <c r="J968" s="6"/>
      <c r="K968" s="6"/>
      <c r="L968" s="6"/>
      <c r="M968" s="6"/>
      <c r="N968" s="6"/>
      <c r="O968" s="31"/>
      <c r="P968" s="32"/>
      <c r="Q968" s="6"/>
      <c r="R968" s="59"/>
      <c r="S968" s="1"/>
      <c r="T968" s="1"/>
      <c r="U968" s="1"/>
    </row>
    <row r="969" spans="1:21" ht="9.75" customHeight="1" x14ac:dyDescent="0.4">
      <c r="A969" s="1"/>
      <c r="B969" s="1"/>
      <c r="C969" s="17"/>
      <c r="D969" s="17" t="s">
        <v>437</v>
      </c>
      <c r="E969" s="17">
        <v>1</v>
      </c>
      <c r="F969" s="32">
        <v>1</v>
      </c>
      <c r="G969" s="6">
        <v>1</v>
      </c>
      <c r="H969" s="6">
        <v>1</v>
      </c>
      <c r="I969" s="6">
        <v>0</v>
      </c>
      <c r="J969" s="6">
        <v>0</v>
      </c>
      <c r="K969" s="6">
        <v>1</v>
      </c>
      <c r="L969" s="6">
        <v>1</v>
      </c>
      <c r="M969" s="6">
        <v>1</v>
      </c>
      <c r="N969" s="6">
        <v>1</v>
      </c>
      <c r="O969" s="31">
        <v>1</v>
      </c>
      <c r="P969" s="32">
        <f>MIN(F969:O969)</f>
        <v>0</v>
      </c>
      <c r="Q969" s="6">
        <f>E969-P969</f>
        <v>1</v>
      </c>
      <c r="R969" s="59">
        <f>Q969/E969</f>
        <v>1</v>
      </c>
      <c r="S969" s="1"/>
      <c r="T969" s="1"/>
      <c r="U969" s="1"/>
    </row>
    <row r="970" spans="1:21" ht="9.75" customHeight="1" x14ac:dyDescent="0.4">
      <c r="A970" s="1"/>
      <c r="B970" s="1"/>
      <c r="C970" s="17"/>
      <c r="D970" s="17" t="s">
        <v>374</v>
      </c>
      <c r="E970" s="17"/>
      <c r="F970" s="32"/>
      <c r="G970" s="6"/>
      <c r="H970" s="6"/>
      <c r="I970" s="6"/>
      <c r="J970" s="6"/>
      <c r="K970" s="6"/>
      <c r="L970" s="6"/>
      <c r="M970" s="6"/>
      <c r="N970" s="6"/>
      <c r="O970" s="31"/>
      <c r="P970" s="32"/>
      <c r="Q970" s="6"/>
      <c r="R970" s="59"/>
      <c r="S970" s="1"/>
      <c r="T970" s="1"/>
      <c r="U970" s="1"/>
    </row>
    <row r="971" spans="1:21" ht="9.75" customHeight="1" x14ac:dyDescent="0.4">
      <c r="A971" s="1"/>
      <c r="B971" s="1"/>
      <c r="C971" s="17"/>
      <c r="D971" s="17" t="s">
        <v>374</v>
      </c>
      <c r="E971" s="17"/>
      <c r="F971" s="32"/>
      <c r="G971" s="6"/>
      <c r="H971" s="6"/>
      <c r="I971" s="6"/>
      <c r="J971" s="6"/>
      <c r="K971" s="6"/>
      <c r="L971" s="6"/>
      <c r="M971" s="6"/>
      <c r="N971" s="6"/>
      <c r="O971" s="31"/>
      <c r="P971" s="32"/>
      <c r="Q971" s="6"/>
      <c r="R971" s="59"/>
      <c r="S971" s="1"/>
      <c r="T971" s="1"/>
      <c r="U971" s="1"/>
    </row>
    <row r="972" spans="1:21" ht="9.75" customHeight="1" x14ac:dyDescent="0.4">
      <c r="A972" s="1"/>
      <c r="B972" s="1"/>
      <c r="C972" s="17"/>
      <c r="D972" s="17" t="s">
        <v>374</v>
      </c>
      <c r="E972" s="17"/>
      <c r="F972" s="32"/>
      <c r="G972" s="6"/>
      <c r="H972" s="6"/>
      <c r="I972" s="6"/>
      <c r="J972" s="6"/>
      <c r="K972" s="6"/>
      <c r="L972" s="6"/>
      <c r="M972" s="6"/>
      <c r="N972" s="6"/>
      <c r="O972" s="31"/>
      <c r="P972" s="32"/>
      <c r="Q972" s="6"/>
      <c r="R972" s="59"/>
      <c r="S972" s="1"/>
      <c r="T972" s="1"/>
      <c r="U972" s="1"/>
    </row>
    <row r="973" spans="1:21" ht="9.75" customHeight="1" x14ac:dyDescent="0.4">
      <c r="A973" s="1"/>
      <c r="B973" s="1"/>
      <c r="C973" s="17"/>
      <c r="D973" s="17" t="s">
        <v>374</v>
      </c>
      <c r="E973" s="17"/>
      <c r="F973" s="32"/>
      <c r="G973" s="6"/>
      <c r="H973" s="6"/>
      <c r="I973" s="6"/>
      <c r="J973" s="6"/>
      <c r="K973" s="6"/>
      <c r="L973" s="6"/>
      <c r="M973" s="6"/>
      <c r="N973" s="6"/>
      <c r="O973" s="31"/>
      <c r="P973" s="32"/>
      <c r="Q973" s="6"/>
      <c r="R973" s="59"/>
      <c r="S973" s="1"/>
      <c r="T973" s="1"/>
      <c r="U973" s="1"/>
    </row>
    <row r="974" spans="1:21" ht="9.75" customHeight="1" x14ac:dyDescent="0.4">
      <c r="A974" s="1"/>
      <c r="B974" s="1"/>
      <c r="C974" s="17"/>
      <c r="D974" s="17" t="s">
        <v>374</v>
      </c>
      <c r="E974" s="17"/>
      <c r="F974" s="32"/>
      <c r="G974" s="6"/>
      <c r="H974" s="6"/>
      <c r="I974" s="6"/>
      <c r="J974" s="6"/>
      <c r="K974" s="6"/>
      <c r="L974" s="6"/>
      <c r="M974" s="6"/>
      <c r="N974" s="6"/>
      <c r="O974" s="31"/>
      <c r="P974" s="32"/>
      <c r="Q974" s="6"/>
      <c r="R974" s="59"/>
      <c r="S974" s="1"/>
      <c r="T974" s="1"/>
      <c r="U974" s="1"/>
    </row>
    <row r="975" spans="1:21" ht="9.75" customHeight="1" x14ac:dyDescent="0.4">
      <c r="A975" s="1"/>
      <c r="B975" s="1"/>
      <c r="C975" s="17"/>
      <c r="D975" s="17" t="s">
        <v>310</v>
      </c>
      <c r="E975" s="17"/>
      <c r="F975" s="32"/>
      <c r="G975" s="6"/>
      <c r="H975" s="6"/>
      <c r="I975" s="6"/>
      <c r="J975" s="6"/>
      <c r="K975" s="6"/>
      <c r="L975" s="6"/>
      <c r="M975" s="6"/>
      <c r="N975" s="6"/>
      <c r="O975" s="31"/>
      <c r="P975" s="32"/>
      <c r="Q975" s="6"/>
      <c r="R975" s="59"/>
      <c r="S975" s="1"/>
      <c r="T975" s="1"/>
      <c r="U975" s="1"/>
    </row>
    <row r="976" spans="1:21" ht="9.75" customHeight="1" x14ac:dyDescent="0.4">
      <c r="A976" s="1"/>
      <c r="B976" s="1"/>
      <c r="C976" s="17"/>
      <c r="D976" s="17" t="s">
        <v>311</v>
      </c>
      <c r="E976" s="17"/>
      <c r="F976" s="32"/>
      <c r="G976" s="6"/>
      <c r="H976" s="6"/>
      <c r="I976" s="6"/>
      <c r="J976" s="6"/>
      <c r="K976" s="6"/>
      <c r="L976" s="6"/>
      <c r="M976" s="6"/>
      <c r="N976" s="6"/>
      <c r="O976" s="31"/>
      <c r="P976" s="32"/>
      <c r="Q976" s="6"/>
      <c r="R976" s="59"/>
      <c r="S976" s="1"/>
      <c r="T976" s="1"/>
      <c r="U976" s="1"/>
    </row>
    <row r="977" spans="1:21" ht="9.75" customHeight="1" x14ac:dyDescent="0.4">
      <c r="A977" s="1"/>
      <c r="B977" s="1"/>
      <c r="C977" s="17"/>
      <c r="D977" s="17" t="s">
        <v>312</v>
      </c>
      <c r="E977" s="17"/>
      <c r="F977" s="32"/>
      <c r="G977" s="6"/>
      <c r="H977" s="6"/>
      <c r="I977" s="6"/>
      <c r="J977" s="6"/>
      <c r="K977" s="6"/>
      <c r="L977" s="6"/>
      <c r="M977" s="6"/>
      <c r="N977" s="6"/>
      <c r="O977" s="31"/>
      <c r="P977" s="32"/>
      <c r="Q977" s="6"/>
      <c r="R977" s="59"/>
      <c r="S977" s="1"/>
      <c r="T977" s="1"/>
      <c r="U977" s="1"/>
    </row>
    <row r="978" spans="1:21" ht="9.75" customHeight="1" x14ac:dyDescent="0.4">
      <c r="A978" s="1"/>
      <c r="B978" s="1"/>
      <c r="C978" s="17"/>
      <c r="D978" s="17" t="s">
        <v>313</v>
      </c>
      <c r="E978" s="17"/>
      <c r="F978" s="32"/>
      <c r="G978" s="6"/>
      <c r="H978" s="6"/>
      <c r="I978" s="6"/>
      <c r="J978" s="6"/>
      <c r="K978" s="6"/>
      <c r="L978" s="6"/>
      <c r="M978" s="6"/>
      <c r="N978" s="6"/>
      <c r="O978" s="31"/>
      <c r="P978" s="32"/>
      <c r="Q978" s="6"/>
      <c r="R978" s="59"/>
      <c r="S978" s="1"/>
      <c r="T978" s="1"/>
      <c r="U978" s="1"/>
    </row>
    <row r="979" spans="1:21" ht="9.75" customHeight="1" x14ac:dyDescent="0.4">
      <c r="A979" s="1"/>
      <c r="B979" s="1" t="s">
        <v>395</v>
      </c>
      <c r="C979" s="34"/>
      <c r="D979" s="65" t="s">
        <v>314</v>
      </c>
      <c r="E979" s="65">
        <f t="shared" ref="E979:O979" si="152">SUM(E963:E978)</f>
        <v>81</v>
      </c>
      <c r="F979" s="104">
        <f t="shared" si="152"/>
        <v>71</v>
      </c>
      <c r="G979" s="128">
        <f t="shared" si="152"/>
        <v>66</v>
      </c>
      <c r="H979" s="128">
        <f t="shared" si="152"/>
        <v>64</v>
      </c>
      <c r="I979" s="128">
        <f t="shared" si="152"/>
        <v>60</v>
      </c>
      <c r="J979" s="128">
        <f t="shared" si="152"/>
        <v>58</v>
      </c>
      <c r="K979" s="128">
        <f t="shared" si="152"/>
        <v>56</v>
      </c>
      <c r="L979" s="128">
        <f t="shared" si="152"/>
        <v>56</v>
      </c>
      <c r="M979" s="128">
        <f t="shared" si="152"/>
        <v>60</v>
      </c>
      <c r="N979" s="128">
        <f t="shared" si="152"/>
        <v>61</v>
      </c>
      <c r="O979" s="129">
        <f t="shared" si="152"/>
        <v>66</v>
      </c>
      <c r="P979" s="104">
        <f>MIN(F979:O979)</f>
        <v>56</v>
      </c>
      <c r="Q979" s="128">
        <f>E979-P979</f>
        <v>25</v>
      </c>
      <c r="R979" s="72">
        <f>Q979/E979</f>
        <v>0.30864197530864196</v>
      </c>
      <c r="S979" s="1"/>
      <c r="T979" s="1"/>
      <c r="U979" s="1"/>
    </row>
    <row r="980" spans="1:21" ht="9.75" customHeight="1" x14ac:dyDescent="0.4">
      <c r="A980" s="1"/>
      <c r="B980" s="1"/>
      <c r="C980" s="15" t="s">
        <v>186</v>
      </c>
      <c r="D980" s="191" t="s">
        <v>300</v>
      </c>
      <c r="E980" s="15"/>
      <c r="F980" s="73"/>
      <c r="G980" s="108"/>
      <c r="H980" s="108"/>
      <c r="I980" s="108"/>
      <c r="J980" s="108"/>
      <c r="K980" s="108"/>
      <c r="L980" s="108"/>
      <c r="M980" s="108"/>
      <c r="N980" s="108"/>
      <c r="O980" s="109"/>
      <c r="P980" s="73"/>
      <c r="Q980" s="108"/>
      <c r="R980" s="188"/>
      <c r="S980" s="1"/>
      <c r="T980" s="1"/>
      <c r="U980" s="1"/>
    </row>
    <row r="981" spans="1:21" ht="9.75" customHeight="1" x14ac:dyDescent="0.4">
      <c r="A981" s="1"/>
      <c r="B981" s="1"/>
      <c r="C981" s="17"/>
      <c r="D981" s="17" t="s">
        <v>301</v>
      </c>
      <c r="E981" s="17">
        <v>39</v>
      </c>
      <c r="F981" s="32">
        <v>39</v>
      </c>
      <c r="G981" s="6">
        <v>38</v>
      </c>
      <c r="H981" s="6">
        <v>38</v>
      </c>
      <c r="I981" s="6">
        <v>38</v>
      </c>
      <c r="J981" s="6">
        <v>39</v>
      </c>
      <c r="K981" s="6">
        <v>39</v>
      </c>
      <c r="L981" s="6">
        <v>39</v>
      </c>
      <c r="M981" s="6">
        <v>39</v>
      </c>
      <c r="N981" s="6">
        <v>39</v>
      </c>
      <c r="O981" s="6">
        <v>39</v>
      </c>
      <c r="P981" s="32">
        <f t="shared" ref="P981:P982" si="153">MIN(F981:O981)</f>
        <v>38</v>
      </c>
      <c r="Q981" s="6">
        <f t="shared" ref="Q981:Q982" si="154">E981-P981</f>
        <v>1</v>
      </c>
      <c r="R981" s="59">
        <f t="shared" ref="R981:R982" si="155">Q981/E981</f>
        <v>2.564102564102564E-2</v>
      </c>
      <c r="S981" s="1"/>
      <c r="T981" s="1"/>
      <c r="U981" s="1"/>
    </row>
    <row r="982" spans="1:21" ht="9.75" customHeight="1" x14ac:dyDescent="0.4">
      <c r="A982" s="1"/>
      <c r="B982" s="1"/>
      <c r="C982" s="17"/>
      <c r="D982" s="17" t="s">
        <v>303</v>
      </c>
      <c r="E982" s="32">
        <v>5</v>
      </c>
      <c r="F982" s="32">
        <v>5</v>
      </c>
      <c r="G982" s="6">
        <v>5</v>
      </c>
      <c r="H982" s="6">
        <v>5</v>
      </c>
      <c r="I982" s="6">
        <v>5</v>
      </c>
      <c r="J982" s="6">
        <v>5</v>
      </c>
      <c r="K982" s="6">
        <v>5</v>
      </c>
      <c r="L982" s="6">
        <v>5</v>
      </c>
      <c r="M982" s="6">
        <v>5</v>
      </c>
      <c r="N982" s="6">
        <v>5</v>
      </c>
      <c r="O982" s="31">
        <v>5</v>
      </c>
      <c r="P982" s="6">
        <f t="shared" si="153"/>
        <v>5</v>
      </c>
      <c r="Q982" s="6">
        <f t="shared" si="154"/>
        <v>0</v>
      </c>
      <c r="R982" s="59">
        <f t="shared" si="155"/>
        <v>0</v>
      </c>
      <c r="S982" s="1"/>
      <c r="T982" s="1"/>
      <c r="U982" s="1"/>
    </row>
    <row r="983" spans="1:21" ht="9.75" customHeight="1" x14ac:dyDescent="0.4">
      <c r="A983" s="1"/>
      <c r="B983" s="1"/>
      <c r="C983" s="17"/>
      <c r="D983" s="17" t="s">
        <v>369</v>
      </c>
      <c r="E983" s="17"/>
      <c r="F983" s="32"/>
      <c r="G983" s="6"/>
      <c r="H983" s="6"/>
      <c r="I983" s="6"/>
      <c r="J983" s="6"/>
      <c r="K983" s="6"/>
      <c r="L983" s="6"/>
      <c r="M983" s="6"/>
      <c r="N983" s="6"/>
      <c r="O983" s="31"/>
      <c r="P983" s="32"/>
      <c r="Q983" s="6"/>
      <c r="R983" s="59"/>
      <c r="S983" s="1"/>
      <c r="T983" s="1"/>
      <c r="U983" s="1"/>
    </row>
    <row r="984" spans="1:21" ht="9.75" customHeight="1" x14ac:dyDescent="0.4">
      <c r="A984" s="1"/>
      <c r="B984" s="1"/>
      <c r="C984" s="17"/>
      <c r="D984" s="17" t="s">
        <v>369</v>
      </c>
      <c r="E984" s="17"/>
      <c r="F984" s="32"/>
      <c r="G984" s="6"/>
      <c r="H984" s="6"/>
      <c r="I984" s="6"/>
      <c r="J984" s="6"/>
      <c r="K984" s="6"/>
      <c r="L984" s="6"/>
      <c r="M984" s="6"/>
      <c r="N984" s="6"/>
      <c r="O984" s="31"/>
      <c r="P984" s="32"/>
      <c r="Q984" s="6"/>
      <c r="R984" s="59"/>
      <c r="S984" s="1"/>
      <c r="T984" s="1"/>
      <c r="U984" s="1"/>
    </row>
    <row r="985" spans="1:21" ht="9.75" customHeight="1" x14ac:dyDescent="0.4">
      <c r="A985" s="1"/>
      <c r="B985" s="1"/>
      <c r="C985" s="17"/>
      <c r="D985" s="17" t="s">
        <v>308</v>
      </c>
      <c r="E985" s="17"/>
      <c r="F985" s="32"/>
      <c r="G985" s="6"/>
      <c r="H985" s="6"/>
      <c r="I985" s="6"/>
      <c r="J985" s="6"/>
      <c r="K985" s="6"/>
      <c r="L985" s="6"/>
      <c r="M985" s="6"/>
      <c r="N985" s="6"/>
      <c r="O985" s="31"/>
      <c r="P985" s="32"/>
      <c r="Q985" s="6"/>
      <c r="R985" s="59"/>
      <c r="S985" s="1"/>
      <c r="T985" s="1"/>
      <c r="U985" s="1"/>
    </row>
    <row r="986" spans="1:21" ht="9.75" customHeight="1" x14ac:dyDescent="0.4">
      <c r="A986" s="1"/>
      <c r="B986" s="1"/>
      <c r="C986" s="17"/>
      <c r="D986" s="17" t="s">
        <v>374</v>
      </c>
      <c r="E986" s="17"/>
      <c r="F986" s="32"/>
      <c r="G986" s="6"/>
      <c r="H986" s="6"/>
      <c r="I986" s="6"/>
      <c r="J986" s="6"/>
      <c r="K986" s="6"/>
      <c r="L986" s="6"/>
      <c r="M986" s="6"/>
      <c r="N986" s="6"/>
      <c r="O986" s="31"/>
      <c r="P986" s="32"/>
      <c r="Q986" s="6"/>
      <c r="R986" s="59"/>
      <c r="S986" s="1"/>
      <c r="T986" s="1"/>
      <c r="U986" s="1"/>
    </row>
    <row r="987" spans="1:21" ht="9.75" customHeight="1" x14ac:dyDescent="0.4">
      <c r="A987" s="1"/>
      <c r="B987" s="1"/>
      <c r="C987" s="17"/>
      <c r="D987" s="17" t="s">
        <v>374</v>
      </c>
      <c r="E987" s="17"/>
      <c r="F987" s="32"/>
      <c r="G987" s="6"/>
      <c r="H987" s="6"/>
      <c r="I987" s="6"/>
      <c r="J987" s="6"/>
      <c r="K987" s="6"/>
      <c r="L987" s="6"/>
      <c r="M987" s="6"/>
      <c r="N987" s="6"/>
      <c r="O987" s="31"/>
      <c r="P987" s="32"/>
      <c r="Q987" s="6"/>
      <c r="R987" s="59"/>
      <c r="S987" s="1"/>
      <c r="T987" s="1"/>
      <c r="U987" s="1"/>
    </row>
    <row r="988" spans="1:21" ht="9.75" customHeight="1" x14ac:dyDescent="0.4">
      <c r="A988" s="1"/>
      <c r="B988" s="1"/>
      <c r="C988" s="17"/>
      <c r="D988" s="17" t="s">
        <v>374</v>
      </c>
      <c r="E988" s="17"/>
      <c r="F988" s="32"/>
      <c r="G988" s="6"/>
      <c r="H988" s="6"/>
      <c r="I988" s="6"/>
      <c r="J988" s="6"/>
      <c r="K988" s="6"/>
      <c r="L988" s="6"/>
      <c r="M988" s="6"/>
      <c r="N988" s="6"/>
      <c r="O988" s="31"/>
      <c r="P988" s="32"/>
      <c r="Q988" s="6"/>
      <c r="R988" s="59"/>
      <c r="S988" s="1"/>
      <c r="T988" s="1"/>
      <c r="U988" s="1"/>
    </row>
    <row r="989" spans="1:21" ht="9.75" customHeight="1" x14ac:dyDescent="0.4">
      <c r="A989" s="1"/>
      <c r="B989" s="1"/>
      <c r="C989" s="17"/>
      <c r="D989" s="17" t="s">
        <v>374</v>
      </c>
      <c r="E989" s="17"/>
      <c r="F989" s="32"/>
      <c r="G989" s="6"/>
      <c r="H989" s="6"/>
      <c r="I989" s="6"/>
      <c r="J989" s="6"/>
      <c r="K989" s="6"/>
      <c r="L989" s="6"/>
      <c r="M989" s="6"/>
      <c r="N989" s="6"/>
      <c r="O989" s="31"/>
      <c r="P989" s="32"/>
      <c r="Q989" s="6"/>
      <c r="R989" s="59"/>
      <c r="S989" s="1"/>
      <c r="T989" s="1"/>
      <c r="U989" s="1"/>
    </row>
    <row r="990" spans="1:21" ht="9.75" customHeight="1" x14ac:dyDescent="0.4">
      <c r="A990" s="1"/>
      <c r="B990" s="1"/>
      <c r="C990" s="17"/>
      <c r="D990" s="17" t="s">
        <v>374</v>
      </c>
      <c r="E990" s="17"/>
      <c r="F990" s="32"/>
      <c r="G990" s="6"/>
      <c r="H990" s="6"/>
      <c r="I990" s="6"/>
      <c r="J990" s="6"/>
      <c r="K990" s="6"/>
      <c r="L990" s="6"/>
      <c r="M990" s="6"/>
      <c r="N990" s="6"/>
      <c r="O990" s="31"/>
      <c r="P990" s="32"/>
      <c r="Q990" s="6"/>
      <c r="R990" s="59"/>
      <c r="S990" s="1"/>
      <c r="T990" s="1"/>
      <c r="U990" s="1"/>
    </row>
    <row r="991" spans="1:21" ht="9.75" customHeight="1" x14ac:dyDescent="0.4">
      <c r="A991" s="1"/>
      <c r="B991" s="1"/>
      <c r="C991" s="17"/>
      <c r="D991" s="17" t="s">
        <v>374</v>
      </c>
      <c r="E991" s="17"/>
      <c r="F991" s="32"/>
      <c r="G991" s="6"/>
      <c r="H991" s="6"/>
      <c r="I991" s="6"/>
      <c r="J991" s="6"/>
      <c r="K991" s="6"/>
      <c r="L991" s="6"/>
      <c r="M991" s="6"/>
      <c r="N991" s="6"/>
      <c r="O991" s="31"/>
      <c r="P991" s="32"/>
      <c r="Q991" s="6"/>
      <c r="R991" s="59"/>
      <c r="S991" s="1"/>
      <c r="T991" s="1"/>
      <c r="U991" s="1"/>
    </row>
    <row r="992" spans="1:21" ht="9.75" customHeight="1" x14ac:dyDescent="0.4">
      <c r="A992" s="1"/>
      <c r="B992" s="1"/>
      <c r="C992" s="17"/>
      <c r="D992" s="17" t="s">
        <v>310</v>
      </c>
      <c r="E992" s="17"/>
      <c r="F992" s="32"/>
      <c r="G992" s="6"/>
      <c r="H992" s="6"/>
      <c r="I992" s="6"/>
      <c r="J992" s="6"/>
      <c r="K992" s="6"/>
      <c r="L992" s="6"/>
      <c r="M992" s="6"/>
      <c r="N992" s="6"/>
      <c r="O992" s="31"/>
      <c r="P992" s="32"/>
      <c r="Q992" s="6"/>
      <c r="R992" s="59"/>
      <c r="S992" s="1"/>
      <c r="T992" s="1"/>
      <c r="U992" s="1"/>
    </row>
    <row r="993" spans="1:21" ht="9.75" customHeight="1" x14ac:dyDescent="0.4">
      <c r="A993" s="1"/>
      <c r="B993" s="1"/>
      <c r="C993" s="17"/>
      <c r="D993" s="17" t="s">
        <v>311</v>
      </c>
      <c r="E993" s="17"/>
      <c r="F993" s="32"/>
      <c r="G993" s="6"/>
      <c r="H993" s="6"/>
      <c r="I993" s="6"/>
      <c r="J993" s="6"/>
      <c r="K993" s="6"/>
      <c r="L993" s="6"/>
      <c r="M993" s="6"/>
      <c r="N993" s="6"/>
      <c r="O993" s="31"/>
      <c r="P993" s="32"/>
      <c r="Q993" s="6"/>
      <c r="R993" s="59"/>
      <c r="S993" s="1"/>
      <c r="T993" s="1"/>
      <c r="U993" s="1"/>
    </row>
    <row r="994" spans="1:21" ht="9.75" customHeight="1" x14ac:dyDescent="0.4">
      <c r="A994" s="1"/>
      <c r="B994" s="1"/>
      <c r="C994" s="17"/>
      <c r="D994" s="17" t="s">
        <v>312</v>
      </c>
      <c r="E994" s="17"/>
      <c r="F994" s="32"/>
      <c r="G994" s="6"/>
      <c r="H994" s="6"/>
      <c r="I994" s="6"/>
      <c r="J994" s="6"/>
      <c r="K994" s="6"/>
      <c r="L994" s="6"/>
      <c r="M994" s="6"/>
      <c r="N994" s="6"/>
      <c r="O994" s="31"/>
      <c r="P994" s="32"/>
      <c r="Q994" s="6"/>
      <c r="R994" s="59"/>
      <c r="S994" s="1"/>
      <c r="T994" s="1"/>
      <c r="U994" s="1"/>
    </row>
    <row r="995" spans="1:21" ht="9.75" customHeight="1" x14ac:dyDescent="0.4">
      <c r="A995" s="1"/>
      <c r="B995" s="1"/>
      <c r="C995" s="17"/>
      <c r="D995" s="17" t="s">
        <v>313</v>
      </c>
      <c r="E995" s="17"/>
      <c r="F995" s="32"/>
      <c r="G995" s="6"/>
      <c r="H995" s="6"/>
      <c r="I995" s="6"/>
      <c r="J995" s="6"/>
      <c r="K995" s="6"/>
      <c r="L995" s="6"/>
      <c r="M995" s="6"/>
      <c r="N995" s="6"/>
      <c r="O995" s="31"/>
      <c r="P995" s="32"/>
      <c r="Q995" s="6"/>
      <c r="R995" s="59"/>
      <c r="S995" s="1"/>
      <c r="T995" s="1"/>
      <c r="U995" s="1"/>
    </row>
    <row r="996" spans="1:21" ht="9.75" customHeight="1" x14ac:dyDescent="0.4">
      <c r="A996" s="1"/>
      <c r="B996" s="1" t="s">
        <v>395</v>
      </c>
      <c r="C996" s="34"/>
      <c r="D996" s="65" t="s">
        <v>314</v>
      </c>
      <c r="E996" s="65">
        <f t="shared" ref="E996:O996" si="156">SUM(E980:E995)</f>
        <v>44</v>
      </c>
      <c r="F996" s="104">
        <f t="shared" si="156"/>
        <v>44</v>
      </c>
      <c r="G996" s="128">
        <f t="shared" si="156"/>
        <v>43</v>
      </c>
      <c r="H996" s="128">
        <f t="shared" si="156"/>
        <v>43</v>
      </c>
      <c r="I996" s="128">
        <f t="shared" si="156"/>
        <v>43</v>
      </c>
      <c r="J996" s="128">
        <f t="shared" si="156"/>
        <v>44</v>
      </c>
      <c r="K996" s="128">
        <f t="shared" si="156"/>
        <v>44</v>
      </c>
      <c r="L996" s="128">
        <f t="shared" si="156"/>
        <v>44</v>
      </c>
      <c r="M996" s="128">
        <f t="shared" si="156"/>
        <v>44</v>
      </c>
      <c r="N996" s="128">
        <f t="shared" si="156"/>
        <v>44</v>
      </c>
      <c r="O996" s="129">
        <f t="shared" si="156"/>
        <v>44</v>
      </c>
      <c r="P996" s="104">
        <f>MIN(F996:O996)</f>
        <v>43</v>
      </c>
      <c r="Q996" s="128">
        <f>E996-P996</f>
        <v>1</v>
      </c>
      <c r="R996" s="72">
        <f>Q996/E996</f>
        <v>2.2727272727272728E-2</v>
      </c>
      <c r="S996" s="1"/>
      <c r="T996" s="1"/>
      <c r="U996" s="1"/>
    </row>
    <row r="997" spans="1:21" ht="9.75" customHeight="1" x14ac:dyDescent="0.4">
      <c r="A997" s="1"/>
      <c r="B997" s="1"/>
      <c r="C997" s="15" t="s">
        <v>196</v>
      </c>
      <c r="D997" s="15" t="s">
        <v>300</v>
      </c>
      <c r="E997" s="17"/>
      <c r="F997" s="32"/>
      <c r="G997" s="6"/>
      <c r="H997" s="6"/>
      <c r="I997" s="6"/>
      <c r="J997" s="6"/>
      <c r="K997" s="6"/>
      <c r="L997" s="6"/>
      <c r="M997" s="6"/>
      <c r="N997" s="6"/>
      <c r="O997" s="31"/>
      <c r="P997" s="32"/>
      <c r="Q997" s="6"/>
      <c r="R997" s="59"/>
      <c r="S997" s="1"/>
      <c r="T997" s="1"/>
      <c r="U997" s="1"/>
    </row>
    <row r="998" spans="1:21" ht="9.75" customHeight="1" x14ac:dyDescent="0.4">
      <c r="A998" s="1"/>
      <c r="B998" s="1"/>
      <c r="C998" s="17"/>
      <c r="D998" s="17" t="s">
        <v>301</v>
      </c>
      <c r="E998" s="17">
        <v>62</v>
      </c>
      <c r="F998" s="32">
        <v>61</v>
      </c>
      <c r="G998" s="6">
        <v>61</v>
      </c>
      <c r="H998" s="6">
        <v>61</v>
      </c>
      <c r="I998" s="6">
        <v>61</v>
      </c>
      <c r="J998" s="6">
        <v>61</v>
      </c>
      <c r="K998" s="6">
        <v>61</v>
      </c>
      <c r="L998" s="6">
        <v>61</v>
      </c>
      <c r="M998" s="6">
        <v>61</v>
      </c>
      <c r="N998" s="6">
        <v>61</v>
      </c>
      <c r="O998" s="31">
        <v>61</v>
      </c>
      <c r="P998" s="32">
        <f>MIN(F998:O998)</f>
        <v>61</v>
      </c>
      <c r="Q998" s="6">
        <f>E998-P998</f>
        <v>1</v>
      </c>
      <c r="R998" s="59">
        <f>Q998/E998</f>
        <v>1.6129032258064516E-2</v>
      </c>
      <c r="S998" s="1"/>
      <c r="T998" s="1"/>
      <c r="U998" s="1"/>
    </row>
    <row r="999" spans="1:21" ht="9.75" customHeight="1" x14ac:dyDescent="0.4">
      <c r="A999" s="1"/>
      <c r="B999" s="1"/>
      <c r="C999" s="17"/>
      <c r="D999" s="17" t="s">
        <v>303</v>
      </c>
      <c r="E999" s="17"/>
      <c r="F999" s="32"/>
      <c r="G999" s="6"/>
      <c r="H999" s="6"/>
      <c r="I999" s="6"/>
      <c r="J999" s="6"/>
      <c r="K999" s="6"/>
      <c r="L999" s="6"/>
      <c r="M999" s="6"/>
      <c r="N999" s="6"/>
      <c r="O999" s="31"/>
      <c r="P999" s="32"/>
      <c r="Q999" s="6"/>
      <c r="R999" s="59"/>
      <c r="S999" s="1"/>
      <c r="T999" s="1"/>
      <c r="U999" s="1"/>
    </row>
    <row r="1000" spans="1:21" ht="9.75" customHeight="1" x14ac:dyDescent="0.4">
      <c r="A1000" s="1"/>
      <c r="B1000" s="1"/>
      <c r="C1000" s="17"/>
      <c r="D1000" s="17" t="s">
        <v>369</v>
      </c>
      <c r="E1000" s="17"/>
      <c r="F1000" s="32"/>
      <c r="G1000" s="6"/>
      <c r="H1000" s="6"/>
      <c r="I1000" s="6"/>
      <c r="J1000" s="6"/>
      <c r="K1000" s="6"/>
      <c r="L1000" s="6"/>
      <c r="M1000" s="6"/>
      <c r="N1000" s="6"/>
      <c r="O1000" s="31"/>
      <c r="P1000" s="32"/>
      <c r="Q1000" s="6"/>
      <c r="R1000" s="59"/>
      <c r="S1000" s="1"/>
      <c r="T1000" s="1"/>
      <c r="U1000" s="1"/>
    </row>
    <row r="1001" spans="1:21" ht="9.75" customHeight="1" x14ac:dyDescent="0.4">
      <c r="A1001" s="1"/>
      <c r="B1001" s="1"/>
      <c r="C1001" s="17"/>
      <c r="D1001" s="17" t="s">
        <v>369</v>
      </c>
      <c r="E1001" s="17"/>
      <c r="F1001" s="32"/>
      <c r="G1001" s="6"/>
      <c r="H1001" s="6"/>
      <c r="I1001" s="6"/>
      <c r="J1001" s="6"/>
      <c r="K1001" s="6"/>
      <c r="L1001" s="6"/>
      <c r="M1001" s="6"/>
      <c r="N1001" s="6"/>
      <c r="O1001" s="31"/>
      <c r="P1001" s="32"/>
      <c r="Q1001" s="6"/>
      <c r="R1001" s="59"/>
      <c r="S1001" s="1"/>
      <c r="T1001" s="1"/>
      <c r="U1001" s="1"/>
    </row>
    <row r="1002" spans="1:21" ht="9.75" customHeight="1" x14ac:dyDescent="0.4">
      <c r="A1002" s="1"/>
      <c r="B1002" s="1"/>
      <c r="C1002" s="17"/>
      <c r="D1002" s="17" t="s">
        <v>308</v>
      </c>
      <c r="E1002" s="17"/>
      <c r="F1002" s="32"/>
      <c r="G1002" s="6"/>
      <c r="H1002" s="6"/>
      <c r="I1002" s="6"/>
      <c r="J1002" s="6"/>
      <c r="K1002" s="6"/>
      <c r="L1002" s="6"/>
      <c r="M1002" s="6"/>
      <c r="N1002" s="6"/>
      <c r="O1002" s="31"/>
      <c r="P1002" s="32"/>
      <c r="Q1002" s="6"/>
      <c r="R1002" s="59"/>
      <c r="S1002" s="1"/>
      <c r="T1002" s="1"/>
      <c r="U1002" s="1"/>
    </row>
    <row r="1003" spans="1:21" ht="9.75" customHeight="1" x14ac:dyDescent="0.4">
      <c r="A1003" s="1"/>
      <c r="B1003" s="1"/>
      <c r="C1003" s="17"/>
      <c r="D1003" s="17" t="s">
        <v>374</v>
      </c>
      <c r="E1003" s="17"/>
      <c r="F1003" s="32"/>
      <c r="G1003" s="6"/>
      <c r="H1003" s="6"/>
      <c r="I1003" s="6"/>
      <c r="J1003" s="6"/>
      <c r="K1003" s="6"/>
      <c r="L1003" s="6"/>
      <c r="M1003" s="6"/>
      <c r="N1003" s="6"/>
      <c r="O1003" s="31"/>
      <c r="P1003" s="32"/>
      <c r="Q1003" s="6"/>
      <c r="R1003" s="59"/>
      <c r="S1003" s="1"/>
      <c r="T1003" s="1"/>
      <c r="U1003" s="1"/>
    </row>
    <row r="1004" spans="1:21" ht="9.75" customHeight="1" x14ac:dyDescent="0.4">
      <c r="A1004" s="1"/>
      <c r="B1004" s="1"/>
      <c r="C1004" s="17"/>
      <c r="D1004" s="17" t="s">
        <v>374</v>
      </c>
      <c r="E1004" s="17"/>
      <c r="F1004" s="32"/>
      <c r="G1004" s="6"/>
      <c r="H1004" s="6"/>
      <c r="I1004" s="6"/>
      <c r="J1004" s="6"/>
      <c r="K1004" s="6"/>
      <c r="L1004" s="6"/>
      <c r="M1004" s="6"/>
      <c r="N1004" s="6"/>
      <c r="O1004" s="31"/>
      <c r="P1004" s="32"/>
      <c r="Q1004" s="6"/>
      <c r="R1004" s="59"/>
      <c r="S1004" s="1"/>
      <c r="T1004" s="1"/>
      <c r="U1004" s="1"/>
    </row>
    <row r="1005" spans="1:21" ht="9.75" customHeight="1" x14ac:dyDescent="0.4">
      <c r="A1005" s="1"/>
      <c r="B1005" s="1"/>
      <c r="C1005" s="17"/>
      <c r="D1005" s="17" t="s">
        <v>374</v>
      </c>
      <c r="E1005" s="17"/>
      <c r="F1005" s="32"/>
      <c r="G1005" s="6"/>
      <c r="H1005" s="6"/>
      <c r="I1005" s="6"/>
      <c r="J1005" s="6"/>
      <c r="K1005" s="6"/>
      <c r="L1005" s="6"/>
      <c r="M1005" s="6"/>
      <c r="N1005" s="6"/>
      <c r="O1005" s="31"/>
      <c r="P1005" s="32"/>
      <c r="Q1005" s="6"/>
      <c r="R1005" s="59"/>
      <c r="S1005" s="1"/>
      <c r="T1005" s="1"/>
      <c r="U1005" s="1"/>
    </row>
    <row r="1006" spans="1:21" ht="9.75" customHeight="1" x14ac:dyDescent="0.4">
      <c r="A1006" s="1"/>
      <c r="B1006" s="1"/>
      <c r="C1006" s="17"/>
      <c r="D1006" s="17" t="s">
        <v>374</v>
      </c>
      <c r="E1006" s="17"/>
      <c r="F1006" s="32"/>
      <c r="G1006" s="6"/>
      <c r="H1006" s="6"/>
      <c r="I1006" s="6"/>
      <c r="J1006" s="6"/>
      <c r="K1006" s="6"/>
      <c r="L1006" s="6"/>
      <c r="M1006" s="6"/>
      <c r="N1006" s="6"/>
      <c r="O1006" s="31"/>
      <c r="P1006" s="32"/>
      <c r="Q1006" s="6"/>
      <c r="R1006" s="59"/>
      <c r="S1006" s="1"/>
      <c r="T1006" s="1"/>
      <c r="U1006" s="1"/>
    </row>
    <row r="1007" spans="1:21" ht="9.75" customHeight="1" x14ac:dyDescent="0.4">
      <c r="A1007" s="1"/>
      <c r="B1007" s="1"/>
      <c r="C1007" s="17"/>
      <c r="D1007" s="17" t="s">
        <v>374</v>
      </c>
      <c r="E1007" s="17"/>
      <c r="F1007" s="32"/>
      <c r="G1007" s="6"/>
      <c r="H1007" s="6"/>
      <c r="I1007" s="6"/>
      <c r="J1007" s="6"/>
      <c r="K1007" s="6"/>
      <c r="L1007" s="6"/>
      <c r="M1007" s="6"/>
      <c r="N1007" s="6"/>
      <c r="O1007" s="31"/>
      <c r="P1007" s="32"/>
      <c r="Q1007" s="6"/>
      <c r="R1007" s="59"/>
      <c r="S1007" s="1"/>
      <c r="T1007" s="1"/>
      <c r="U1007" s="1"/>
    </row>
    <row r="1008" spans="1:21" ht="9.75" customHeight="1" x14ac:dyDescent="0.4">
      <c r="A1008" s="1"/>
      <c r="B1008" s="1"/>
      <c r="C1008" s="17"/>
      <c r="D1008" s="17" t="s">
        <v>374</v>
      </c>
      <c r="E1008" s="17"/>
      <c r="F1008" s="32"/>
      <c r="G1008" s="6"/>
      <c r="H1008" s="6"/>
      <c r="I1008" s="6"/>
      <c r="J1008" s="6"/>
      <c r="K1008" s="6"/>
      <c r="L1008" s="6"/>
      <c r="M1008" s="6"/>
      <c r="N1008" s="6"/>
      <c r="O1008" s="31"/>
      <c r="P1008" s="32"/>
      <c r="Q1008" s="6"/>
      <c r="R1008" s="59"/>
      <c r="S1008" s="1"/>
      <c r="T1008" s="1"/>
      <c r="U1008" s="1"/>
    </row>
    <row r="1009" spans="1:21" ht="9.75" customHeight="1" x14ac:dyDescent="0.4">
      <c r="A1009" s="1"/>
      <c r="B1009" s="1"/>
      <c r="C1009" s="17"/>
      <c r="D1009" s="17" t="s">
        <v>310</v>
      </c>
      <c r="E1009" s="17"/>
      <c r="F1009" s="32"/>
      <c r="G1009" s="6"/>
      <c r="H1009" s="6"/>
      <c r="I1009" s="6"/>
      <c r="J1009" s="6"/>
      <c r="K1009" s="6"/>
      <c r="L1009" s="6"/>
      <c r="M1009" s="6"/>
      <c r="N1009" s="6"/>
      <c r="O1009" s="31"/>
      <c r="P1009" s="32"/>
      <c r="Q1009" s="6"/>
      <c r="R1009" s="59"/>
      <c r="S1009" s="1"/>
      <c r="T1009" s="1"/>
      <c r="U1009" s="1"/>
    </row>
    <row r="1010" spans="1:21" ht="9.75" customHeight="1" x14ac:dyDescent="0.4">
      <c r="A1010" s="1"/>
      <c r="B1010" s="1"/>
      <c r="C1010" s="17"/>
      <c r="D1010" s="17" t="s">
        <v>311</v>
      </c>
      <c r="E1010" s="17"/>
      <c r="F1010" s="32"/>
      <c r="G1010" s="6"/>
      <c r="H1010" s="6"/>
      <c r="I1010" s="6"/>
      <c r="J1010" s="6"/>
      <c r="K1010" s="6"/>
      <c r="L1010" s="6"/>
      <c r="M1010" s="6"/>
      <c r="N1010" s="6"/>
      <c r="O1010" s="31"/>
      <c r="P1010" s="32"/>
      <c r="Q1010" s="6"/>
      <c r="R1010" s="59"/>
      <c r="S1010" s="1"/>
      <c r="T1010" s="1"/>
      <c r="U1010" s="1"/>
    </row>
    <row r="1011" spans="1:21" ht="9.75" customHeight="1" x14ac:dyDescent="0.4">
      <c r="A1011" s="1"/>
      <c r="B1011" s="1"/>
      <c r="C1011" s="17"/>
      <c r="D1011" s="17" t="s">
        <v>312</v>
      </c>
      <c r="E1011" s="17"/>
      <c r="F1011" s="32"/>
      <c r="G1011" s="6"/>
      <c r="H1011" s="6"/>
      <c r="I1011" s="6"/>
      <c r="J1011" s="6"/>
      <c r="K1011" s="6"/>
      <c r="L1011" s="6"/>
      <c r="M1011" s="6"/>
      <c r="N1011" s="6"/>
      <c r="O1011" s="31"/>
      <c r="P1011" s="32"/>
      <c r="Q1011" s="6"/>
      <c r="R1011" s="59"/>
      <c r="S1011" s="1"/>
      <c r="T1011" s="1"/>
      <c r="U1011" s="1"/>
    </row>
    <row r="1012" spans="1:21" ht="9.75" customHeight="1" x14ac:dyDescent="0.4">
      <c r="A1012" s="1"/>
      <c r="B1012" s="1"/>
      <c r="C1012" s="17"/>
      <c r="D1012" s="17" t="s">
        <v>313</v>
      </c>
      <c r="E1012" s="17"/>
      <c r="F1012" s="32"/>
      <c r="G1012" s="6"/>
      <c r="H1012" s="6"/>
      <c r="I1012" s="6"/>
      <c r="J1012" s="6"/>
      <c r="K1012" s="6"/>
      <c r="L1012" s="6"/>
      <c r="M1012" s="6"/>
      <c r="N1012" s="6"/>
      <c r="O1012" s="31"/>
      <c r="P1012" s="32"/>
      <c r="Q1012" s="6"/>
      <c r="R1012" s="59"/>
      <c r="S1012" s="1"/>
      <c r="T1012" s="1"/>
      <c r="U1012" s="1"/>
    </row>
    <row r="1013" spans="1:21" ht="9.75" customHeight="1" x14ac:dyDescent="0.4">
      <c r="A1013" s="1"/>
      <c r="B1013" s="1" t="s">
        <v>395</v>
      </c>
      <c r="C1013" s="34"/>
      <c r="D1013" s="65" t="s">
        <v>314</v>
      </c>
      <c r="E1013" s="65">
        <f t="shared" ref="E1013:O1013" si="157">SUM(E997:E1012)</f>
        <v>62</v>
      </c>
      <c r="F1013" s="104">
        <f t="shared" si="157"/>
        <v>61</v>
      </c>
      <c r="G1013" s="128">
        <f t="shared" si="157"/>
        <v>61</v>
      </c>
      <c r="H1013" s="128">
        <f t="shared" si="157"/>
        <v>61</v>
      </c>
      <c r="I1013" s="128">
        <f t="shared" si="157"/>
        <v>61</v>
      </c>
      <c r="J1013" s="128">
        <f t="shared" si="157"/>
        <v>61</v>
      </c>
      <c r="K1013" s="128">
        <f t="shared" si="157"/>
        <v>61</v>
      </c>
      <c r="L1013" s="128">
        <f t="shared" si="157"/>
        <v>61</v>
      </c>
      <c r="M1013" s="128">
        <f t="shared" si="157"/>
        <v>61</v>
      </c>
      <c r="N1013" s="128">
        <f t="shared" si="157"/>
        <v>61</v>
      </c>
      <c r="O1013" s="129">
        <f t="shared" si="157"/>
        <v>61</v>
      </c>
      <c r="P1013" s="104">
        <f>MIN(F1013:O1013)</f>
        <v>61</v>
      </c>
      <c r="Q1013" s="128">
        <f>E1013-P1013</f>
        <v>1</v>
      </c>
      <c r="R1013" s="72">
        <f>Q1013/E1013</f>
        <v>1.6129032258064516E-2</v>
      </c>
      <c r="S1013" s="1"/>
      <c r="T1013" s="1"/>
      <c r="U1013" s="1"/>
    </row>
    <row r="1014" spans="1:21" ht="9.75" customHeight="1" x14ac:dyDescent="0.4">
      <c r="A1014" s="1"/>
      <c r="B1014" s="1"/>
      <c r="C1014" s="15" t="s">
        <v>205</v>
      </c>
      <c r="D1014" s="15" t="s">
        <v>300</v>
      </c>
      <c r="E1014" s="17"/>
      <c r="F1014" s="32"/>
      <c r="G1014" s="6"/>
      <c r="H1014" s="6"/>
      <c r="I1014" s="6"/>
      <c r="J1014" s="6"/>
      <c r="K1014" s="6"/>
      <c r="L1014" s="6"/>
      <c r="M1014" s="6"/>
      <c r="N1014" s="6"/>
      <c r="O1014" s="31"/>
      <c r="P1014" s="32"/>
      <c r="Q1014" s="6"/>
      <c r="R1014" s="59"/>
      <c r="S1014" s="1"/>
      <c r="T1014" s="1"/>
      <c r="U1014" s="1"/>
    </row>
    <row r="1015" spans="1:21" ht="9.75" customHeight="1" x14ac:dyDescent="0.4">
      <c r="A1015" s="1"/>
      <c r="B1015" s="1"/>
      <c r="C1015" s="17"/>
      <c r="D1015" s="17" t="s">
        <v>301</v>
      </c>
      <c r="E1015" s="17">
        <v>1</v>
      </c>
      <c r="F1015" s="32">
        <v>1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1</v>
      </c>
      <c r="N1015" s="6">
        <v>1</v>
      </c>
      <c r="O1015" s="31">
        <v>1</v>
      </c>
      <c r="P1015" s="32">
        <f>MIN(F1015:O1015)</f>
        <v>0</v>
      </c>
      <c r="Q1015" s="6">
        <f>E1015-P1015</f>
        <v>1</v>
      </c>
      <c r="R1015" s="59">
        <f>Q1015/E1015</f>
        <v>1</v>
      </c>
      <c r="S1015" s="1"/>
      <c r="T1015" s="1"/>
      <c r="U1015" s="1"/>
    </row>
    <row r="1016" spans="1:21" ht="9.75" customHeight="1" x14ac:dyDescent="0.4">
      <c r="A1016" s="1"/>
      <c r="B1016" s="1"/>
      <c r="C1016" s="17"/>
      <c r="D1016" s="17" t="s">
        <v>303</v>
      </c>
      <c r="E1016" s="17"/>
      <c r="F1016" s="32"/>
      <c r="G1016" s="6"/>
      <c r="H1016" s="6"/>
      <c r="I1016" s="6"/>
      <c r="J1016" s="6"/>
      <c r="K1016" s="6"/>
      <c r="L1016" s="6"/>
      <c r="M1016" s="6"/>
      <c r="N1016" s="6"/>
      <c r="O1016" s="31"/>
      <c r="P1016" s="32"/>
      <c r="Q1016" s="6"/>
      <c r="R1016" s="59"/>
      <c r="S1016" s="1"/>
      <c r="T1016" s="1"/>
      <c r="U1016" s="1"/>
    </row>
    <row r="1017" spans="1:21" ht="9.75" customHeight="1" x14ac:dyDescent="0.4">
      <c r="A1017" s="1"/>
      <c r="B1017" s="1"/>
      <c r="C1017" s="17"/>
      <c r="D1017" s="17" t="s">
        <v>434</v>
      </c>
      <c r="E1017" s="17">
        <v>10</v>
      </c>
      <c r="F1017" s="32">
        <v>9</v>
      </c>
      <c r="G1017" s="6">
        <v>8</v>
      </c>
      <c r="H1017" s="6">
        <v>8</v>
      </c>
      <c r="I1017" s="6">
        <v>7</v>
      </c>
      <c r="J1017" s="6">
        <v>9</v>
      </c>
      <c r="K1017" s="6">
        <v>9</v>
      </c>
      <c r="L1017" s="6">
        <v>10</v>
      </c>
      <c r="M1017" s="6">
        <v>10</v>
      </c>
      <c r="N1017" s="6">
        <v>8</v>
      </c>
      <c r="O1017" s="31">
        <v>10</v>
      </c>
      <c r="P1017" s="32">
        <f>MIN(F1017:O1017)</f>
        <v>7</v>
      </c>
      <c r="Q1017" s="6">
        <f>E1017-P1017</f>
        <v>3</v>
      </c>
      <c r="R1017" s="59">
        <f>Q1017/E1017</f>
        <v>0.3</v>
      </c>
      <c r="S1017" s="1"/>
      <c r="T1017" s="1"/>
      <c r="U1017" s="1"/>
    </row>
    <row r="1018" spans="1:21" ht="9.75" customHeight="1" x14ac:dyDescent="0.4">
      <c r="A1018" s="1"/>
      <c r="B1018" s="1"/>
      <c r="C1018" s="17"/>
      <c r="D1018" s="17" t="s">
        <v>369</v>
      </c>
      <c r="E1018" s="17"/>
      <c r="F1018" s="32"/>
      <c r="G1018" s="6"/>
      <c r="H1018" s="6"/>
      <c r="I1018" s="6"/>
      <c r="J1018" s="6"/>
      <c r="K1018" s="6"/>
      <c r="L1018" s="6"/>
      <c r="M1018" s="6"/>
      <c r="N1018" s="6"/>
      <c r="O1018" s="31"/>
      <c r="P1018" s="32"/>
      <c r="Q1018" s="6"/>
      <c r="R1018" s="59"/>
      <c r="S1018" s="1"/>
      <c r="T1018" s="1"/>
      <c r="U1018" s="1"/>
    </row>
    <row r="1019" spans="1:21" ht="9.75" customHeight="1" x14ac:dyDescent="0.4">
      <c r="A1019" s="1"/>
      <c r="B1019" s="1"/>
      <c r="C1019" s="17"/>
      <c r="D1019" s="17" t="s">
        <v>308</v>
      </c>
      <c r="E1019" s="17">
        <v>3</v>
      </c>
      <c r="F1019" s="32">
        <v>3</v>
      </c>
      <c r="G1019" s="6">
        <v>3</v>
      </c>
      <c r="H1019" s="6">
        <v>2</v>
      </c>
      <c r="I1019" s="6">
        <v>2</v>
      </c>
      <c r="J1019" s="6">
        <v>3</v>
      </c>
      <c r="K1019" s="6">
        <v>2</v>
      </c>
      <c r="L1019" s="6">
        <v>3</v>
      </c>
      <c r="M1019" s="6">
        <v>3</v>
      </c>
      <c r="N1019" s="6">
        <v>3</v>
      </c>
      <c r="O1019" s="31">
        <v>3</v>
      </c>
      <c r="P1019" s="32">
        <f t="shared" ref="P1019:P1020" si="158">MIN(F1019:O1019)</f>
        <v>2</v>
      </c>
      <c r="Q1019" s="6">
        <f t="shared" ref="Q1019:Q1020" si="159">E1019-P1019</f>
        <v>1</v>
      </c>
      <c r="R1019" s="59">
        <f t="shared" ref="R1019:R1020" si="160">Q1019/E1019</f>
        <v>0.33333333333333331</v>
      </c>
      <c r="S1019" s="1"/>
      <c r="T1019" s="1"/>
      <c r="U1019" s="1"/>
    </row>
    <row r="1020" spans="1:21" ht="9.75" customHeight="1" x14ac:dyDescent="0.4">
      <c r="A1020" s="1"/>
      <c r="B1020" s="1"/>
      <c r="C1020" s="17"/>
      <c r="D1020" s="17" t="s">
        <v>438</v>
      </c>
      <c r="E1020" s="17">
        <v>1</v>
      </c>
      <c r="F1020" s="32">
        <v>1</v>
      </c>
      <c r="G1020" s="6">
        <v>1</v>
      </c>
      <c r="H1020" s="6">
        <v>1</v>
      </c>
      <c r="I1020" s="6">
        <v>1</v>
      </c>
      <c r="J1020" s="6">
        <v>1</v>
      </c>
      <c r="K1020" s="6">
        <v>1</v>
      </c>
      <c r="L1020" s="6">
        <v>1</v>
      </c>
      <c r="M1020" s="6">
        <v>1</v>
      </c>
      <c r="N1020" s="6">
        <v>1</v>
      </c>
      <c r="O1020" s="31">
        <v>1</v>
      </c>
      <c r="P1020" s="32">
        <f t="shared" si="158"/>
        <v>1</v>
      </c>
      <c r="Q1020" s="6">
        <f t="shared" si="159"/>
        <v>0</v>
      </c>
      <c r="R1020" s="59">
        <f t="shared" si="160"/>
        <v>0</v>
      </c>
      <c r="S1020" s="1"/>
      <c r="T1020" s="1"/>
      <c r="U1020" s="1"/>
    </row>
    <row r="1021" spans="1:21" ht="9.75" customHeight="1" x14ac:dyDescent="0.4">
      <c r="A1021" s="1"/>
      <c r="B1021" s="1"/>
      <c r="C1021" s="17"/>
      <c r="D1021" s="17" t="s">
        <v>374</v>
      </c>
      <c r="E1021" s="17"/>
      <c r="F1021" s="32"/>
      <c r="G1021" s="6"/>
      <c r="H1021" s="6"/>
      <c r="I1021" s="6"/>
      <c r="J1021" s="6"/>
      <c r="K1021" s="6"/>
      <c r="L1021" s="6"/>
      <c r="M1021" s="6"/>
      <c r="N1021" s="6"/>
      <c r="O1021" s="31"/>
      <c r="P1021" s="32"/>
      <c r="Q1021" s="6"/>
      <c r="R1021" s="59"/>
      <c r="S1021" s="1"/>
      <c r="T1021" s="1"/>
      <c r="U1021" s="1"/>
    </row>
    <row r="1022" spans="1:21" ht="9.75" customHeight="1" x14ac:dyDescent="0.4">
      <c r="A1022" s="1"/>
      <c r="B1022" s="1"/>
      <c r="C1022" s="17"/>
      <c r="D1022" s="17" t="s">
        <v>374</v>
      </c>
      <c r="E1022" s="17"/>
      <c r="F1022" s="32"/>
      <c r="G1022" s="6"/>
      <c r="H1022" s="6"/>
      <c r="I1022" s="6"/>
      <c r="J1022" s="6"/>
      <c r="K1022" s="6"/>
      <c r="L1022" s="6"/>
      <c r="M1022" s="6"/>
      <c r="N1022" s="6"/>
      <c r="O1022" s="31"/>
      <c r="P1022" s="32"/>
      <c r="Q1022" s="6"/>
      <c r="R1022" s="59"/>
      <c r="S1022" s="1"/>
      <c r="T1022" s="1"/>
      <c r="U1022" s="1"/>
    </row>
    <row r="1023" spans="1:21" ht="9.75" customHeight="1" x14ac:dyDescent="0.4">
      <c r="A1023" s="1"/>
      <c r="B1023" s="1"/>
      <c r="C1023" s="17"/>
      <c r="D1023" s="17" t="s">
        <v>374</v>
      </c>
      <c r="E1023" s="17"/>
      <c r="F1023" s="32"/>
      <c r="G1023" s="6"/>
      <c r="H1023" s="6"/>
      <c r="I1023" s="6"/>
      <c r="J1023" s="6"/>
      <c r="K1023" s="6"/>
      <c r="L1023" s="6"/>
      <c r="M1023" s="6"/>
      <c r="N1023" s="6"/>
      <c r="O1023" s="31"/>
      <c r="P1023" s="32"/>
      <c r="Q1023" s="6"/>
      <c r="R1023" s="59"/>
      <c r="S1023" s="1"/>
      <c r="T1023" s="1"/>
      <c r="U1023" s="1"/>
    </row>
    <row r="1024" spans="1:21" ht="9.75" customHeight="1" x14ac:dyDescent="0.4">
      <c r="A1024" s="1"/>
      <c r="B1024" s="1"/>
      <c r="C1024" s="17"/>
      <c r="D1024" s="17" t="s">
        <v>374</v>
      </c>
      <c r="E1024" s="17"/>
      <c r="F1024" s="32"/>
      <c r="G1024" s="6"/>
      <c r="H1024" s="6"/>
      <c r="I1024" s="6"/>
      <c r="J1024" s="6"/>
      <c r="K1024" s="6"/>
      <c r="L1024" s="6"/>
      <c r="M1024" s="6"/>
      <c r="N1024" s="6"/>
      <c r="O1024" s="31"/>
      <c r="P1024" s="32"/>
      <c r="Q1024" s="6"/>
      <c r="R1024" s="59"/>
      <c r="S1024" s="1"/>
      <c r="T1024" s="1"/>
      <c r="U1024" s="1"/>
    </row>
    <row r="1025" spans="1:21" ht="9.75" customHeight="1" x14ac:dyDescent="0.4">
      <c r="A1025" s="1"/>
      <c r="B1025" s="1"/>
      <c r="C1025" s="17"/>
      <c r="D1025" s="17" t="s">
        <v>374</v>
      </c>
      <c r="E1025" s="17"/>
      <c r="F1025" s="32"/>
      <c r="G1025" s="6"/>
      <c r="H1025" s="6"/>
      <c r="I1025" s="6"/>
      <c r="J1025" s="6"/>
      <c r="K1025" s="6"/>
      <c r="L1025" s="6"/>
      <c r="M1025" s="6"/>
      <c r="N1025" s="6"/>
      <c r="O1025" s="31"/>
      <c r="P1025" s="32"/>
      <c r="Q1025" s="6"/>
      <c r="R1025" s="59"/>
      <c r="S1025" s="1"/>
      <c r="T1025" s="1"/>
      <c r="U1025" s="1"/>
    </row>
    <row r="1026" spans="1:21" ht="9.75" customHeight="1" x14ac:dyDescent="0.4">
      <c r="A1026" s="1"/>
      <c r="B1026" s="1"/>
      <c r="C1026" s="17"/>
      <c r="D1026" s="17" t="s">
        <v>310</v>
      </c>
      <c r="E1026" s="17"/>
      <c r="F1026" s="32"/>
      <c r="G1026" s="6"/>
      <c r="H1026" s="6"/>
      <c r="I1026" s="6"/>
      <c r="J1026" s="6"/>
      <c r="K1026" s="6"/>
      <c r="L1026" s="6"/>
      <c r="M1026" s="6"/>
      <c r="N1026" s="6"/>
      <c r="O1026" s="31"/>
      <c r="P1026" s="32"/>
      <c r="Q1026" s="6"/>
      <c r="R1026" s="59"/>
      <c r="S1026" s="1"/>
      <c r="T1026" s="1"/>
      <c r="U1026" s="1"/>
    </row>
    <row r="1027" spans="1:21" ht="9.75" customHeight="1" x14ac:dyDescent="0.4">
      <c r="A1027" s="1"/>
      <c r="B1027" s="1"/>
      <c r="C1027" s="17"/>
      <c r="D1027" s="17" t="s">
        <v>311</v>
      </c>
      <c r="E1027" s="17"/>
      <c r="F1027" s="32"/>
      <c r="G1027" s="6"/>
      <c r="H1027" s="6"/>
      <c r="I1027" s="6"/>
      <c r="J1027" s="6"/>
      <c r="K1027" s="6"/>
      <c r="L1027" s="6"/>
      <c r="M1027" s="6"/>
      <c r="N1027" s="6"/>
      <c r="O1027" s="31"/>
      <c r="P1027" s="32"/>
      <c r="Q1027" s="6"/>
      <c r="R1027" s="59"/>
      <c r="S1027" s="1"/>
      <c r="T1027" s="1"/>
      <c r="U1027" s="1"/>
    </row>
    <row r="1028" spans="1:21" ht="9.75" customHeight="1" x14ac:dyDescent="0.4">
      <c r="A1028" s="1"/>
      <c r="B1028" s="1"/>
      <c r="C1028" s="17"/>
      <c r="D1028" s="17" t="s">
        <v>312</v>
      </c>
      <c r="E1028" s="17"/>
      <c r="F1028" s="32"/>
      <c r="G1028" s="6"/>
      <c r="H1028" s="6"/>
      <c r="I1028" s="6"/>
      <c r="J1028" s="6"/>
      <c r="K1028" s="6"/>
      <c r="L1028" s="6"/>
      <c r="M1028" s="6"/>
      <c r="N1028" s="6"/>
      <c r="O1028" s="31"/>
      <c r="P1028" s="32"/>
      <c r="Q1028" s="6"/>
      <c r="R1028" s="59"/>
      <c r="S1028" s="1"/>
      <c r="T1028" s="1"/>
      <c r="U1028" s="1"/>
    </row>
    <row r="1029" spans="1:21" ht="9.75" customHeight="1" x14ac:dyDescent="0.4">
      <c r="A1029" s="1"/>
      <c r="B1029" s="1"/>
      <c r="C1029" s="17"/>
      <c r="D1029" s="17" t="s">
        <v>313</v>
      </c>
      <c r="E1029" s="17"/>
      <c r="F1029" s="32"/>
      <c r="G1029" s="6"/>
      <c r="H1029" s="6"/>
      <c r="I1029" s="6"/>
      <c r="J1029" s="6"/>
      <c r="K1029" s="6"/>
      <c r="L1029" s="6"/>
      <c r="M1029" s="6"/>
      <c r="N1029" s="6"/>
      <c r="O1029" s="31"/>
      <c r="P1029" s="32"/>
      <c r="Q1029" s="6"/>
      <c r="R1029" s="59"/>
      <c r="S1029" s="1"/>
      <c r="T1029" s="1"/>
      <c r="U1029" s="1"/>
    </row>
    <row r="1030" spans="1:21" ht="9.75" customHeight="1" x14ac:dyDescent="0.4">
      <c r="A1030" s="1"/>
      <c r="B1030" s="1" t="s">
        <v>395</v>
      </c>
      <c r="C1030" s="34"/>
      <c r="D1030" s="65" t="s">
        <v>314</v>
      </c>
      <c r="E1030" s="65">
        <f t="shared" ref="E1030:O1030" si="161">SUM(E1014:E1029)</f>
        <v>15</v>
      </c>
      <c r="F1030" s="104">
        <f t="shared" si="161"/>
        <v>14</v>
      </c>
      <c r="G1030" s="128">
        <f t="shared" si="161"/>
        <v>12</v>
      </c>
      <c r="H1030" s="128">
        <f t="shared" si="161"/>
        <v>11</v>
      </c>
      <c r="I1030" s="128">
        <f t="shared" si="161"/>
        <v>10</v>
      </c>
      <c r="J1030" s="128">
        <f t="shared" si="161"/>
        <v>13</v>
      </c>
      <c r="K1030" s="128">
        <f t="shared" si="161"/>
        <v>12</v>
      </c>
      <c r="L1030" s="128">
        <f t="shared" si="161"/>
        <v>14</v>
      </c>
      <c r="M1030" s="128">
        <f t="shared" si="161"/>
        <v>15</v>
      </c>
      <c r="N1030" s="128">
        <f t="shared" si="161"/>
        <v>13</v>
      </c>
      <c r="O1030" s="129">
        <f t="shared" si="161"/>
        <v>15</v>
      </c>
      <c r="P1030" s="104">
        <f>MIN(F1030:O1030)</f>
        <v>10</v>
      </c>
      <c r="Q1030" s="128">
        <f>E1030-P1030</f>
        <v>5</v>
      </c>
      <c r="R1030" s="72">
        <f>Q1030/E1030</f>
        <v>0.33333333333333331</v>
      </c>
      <c r="S1030" s="1"/>
      <c r="T1030" s="1"/>
      <c r="U1030" s="1"/>
    </row>
    <row r="1031" spans="1:21" ht="9.75" customHeight="1" x14ac:dyDescent="0.4">
      <c r="A1031" s="1"/>
      <c r="B1031" s="1"/>
      <c r="C1031" s="15" t="s">
        <v>59</v>
      </c>
      <c r="D1031" s="15" t="s">
        <v>300</v>
      </c>
      <c r="E1031" s="15"/>
      <c r="F1031" s="73"/>
      <c r="G1031" s="108"/>
      <c r="H1031" s="108"/>
      <c r="I1031" s="108"/>
      <c r="J1031" s="108"/>
      <c r="K1031" s="108"/>
      <c r="L1031" s="108"/>
      <c r="M1031" s="108"/>
      <c r="N1031" s="108"/>
      <c r="O1031" s="109"/>
      <c r="P1031" s="73"/>
      <c r="Q1031" s="108"/>
      <c r="R1031" s="188"/>
      <c r="S1031" s="1"/>
      <c r="T1031" s="1"/>
      <c r="U1031" s="1"/>
    </row>
    <row r="1032" spans="1:21" ht="9.75" customHeight="1" x14ac:dyDescent="0.4">
      <c r="A1032" s="1"/>
      <c r="B1032" s="1"/>
      <c r="C1032" s="17"/>
      <c r="D1032" s="17" t="s">
        <v>301</v>
      </c>
      <c r="E1032" s="17"/>
      <c r="F1032" s="32"/>
      <c r="G1032" s="6"/>
      <c r="H1032" s="6"/>
      <c r="I1032" s="6"/>
      <c r="J1032" s="6"/>
      <c r="K1032" s="6"/>
      <c r="L1032" s="6"/>
      <c r="M1032" s="6"/>
      <c r="N1032" s="6"/>
      <c r="O1032" s="31"/>
      <c r="P1032" s="32"/>
      <c r="Q1032" s="6"/>
      <c r="R1032" s="59"/>
      <c r="S1032" s="1"/>
      <c r="T1032" s="1"/>
      <c r="U1032" s="1"/>
    </row>
    <row r="1033" spans="1:21" ht="9.75" customHeight="1" x14ac:dyDescent="0.4">
      <c r="A1033" s="1"/>
      <c r="B1033" s="1"/>
      <c r="C1033" s="17"/>
      <c r="D1033" s="17" t="s">
        <v>303</v>
      </c>
      <c r="E1033" s="17">
        <v>97</v>
      </c>
      <c r="F1033" s="32">
        <v>0</v>
      </c>
      <c r="G1033" s="6">
        <v>0</v>
      </c>
      <c r="H1033" s="6">
        <v>1</v>
      </c>
      <c r="I1033" s="6">
        <v>2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31">
        <v>4</v>
      </c>
      <c r="P1033" s="32">
        <f>MIN(F1033:O1033)</f>
        <v>0</v>
      </c>
      <c r="Q1033" s="6">
        <f>E1033-P1033</f>
        <v>97</v>
      </c>
      <c r="R1033" s="59">
        <f>Q1033/E1033</f>
        <v>1</v>
      </c>
      <c r="S1033" s="1"/>
      <c r="T1033" s="1"/>
      <c r="U1033" s="1"/>
    </row>
    <row r="1034" spans="1:21" ht="9.75" customHeight="1" x14ac:dyDescent="0.4">
      <c r="A1034" s="1"/>
      <c r="B1034" s="1"/>
      <c r="C1034" s="17"/>
      <c r="D1034" s="17" t="s">
        <v>434</v>
      </c>
      <c r="E1034" s="17"/>
      <c r="F1034" s="32"/>
      <c r="G1034" s="6"/>
      <c r="H1034" s="6"/>
      <c r="I1034" s="6"/>
      <c r="J1034" s="6"/>
      <c r="K1034" s="6"/>
      <c r="L1034" s="6"/>
      <c r="M1034" s="6"/>
      <c r="N1034" s="6"/>
      <c r="O1034" s="31"/>
      <c r="P1034" s="32"/>
      <c r="Q1034" s="6"/>
      <c r="R1034" s="59"/>
      <c r="S1034" s="1"/>
      <c r="T1034" s="1"/>
      <c r="U1034" s="1"/>
    </row>
    <row r="1035" spans="1:21" ht="9.75" customHeight="1" x14ac:dyDescent="0.4">
      <c r="A1035" s="1"/>
      <c r="B1035" s="1"/>
      <c r="C1035" s="17"/>
      <c r="D1035" s="17" t="s">
        <v>369</v>
      </c>
      <c r="E1035" s="17"/>
      <c r="F1035" s="32"/>
      <c r="G1035" s="6"/>
      <c r="H1035" s="6"/>
      <c r="I1035" s="6"/>
      <c r="J1035" s="6"/>
      <c r="K1035" s="6"/>
      <c r="L1035" s="6"/>
      <c r="M1035" s="6"/>
      <c r="N1035" s="6"/>
      <c r="O1035" s="31"/>
      <c r="P1035" s="32"/>
      <c r="Q1035" s="6"/>
      <c r="R1035" s="59"/>
      <c r="S1035" s="1"/>
      <c r="T1035" s="1"/>
      <c r="U1035" s="1"/>
    </row>
    <row r="1036" spans="1:21" ht="9.75" customHeight="1" x14ac:dyDescent="0.4">
      <c r="A1036" s="1"/>
      <c r="B1036" s="1"/>
      <c r="C1036" s="17"/>
      <c r="D1036" s="17" t="s">
        <v>308</v>
      </c>
      <c r="E1036" s="17"/>
      <c r="F1036" s="32"/>
      <c r="G1036" s="6"/>
      <c r="H1036" s="6"/>
      <c r="I1036" s="6"/>
      <c r="J1036" s="6"/>
      <c r="K1036" s="6"/>
      <c r="L1036" s="6"/>
      <c r="M1036" s="6"/>
      <c r="N1036" s="6"/>
      <c r="O1036" s="31"/>
      <c r="P1036" s="32"/>
      <c r="Q1036" s="6"/>
      <c r="R1036" s="59"/>
      <c r="S1036" s="1"/>
      <c r="T1036" s="1"/>
      <c r="U1036" s="1"/>
    </row>
    <row r="1037" spans="1:21" ht="9.75" customHeight="1" x14ac:dyDescent="0.4">
      <c r="A1037" s="1"/>
      <c r="B1037" s="1"/>
      <c r="C1037" s="17"/>
      <c r="D1037" s="17" t="s">
        <v>377</v>
      </c>
      <c r="E1037" s="17"/>
      <c r="F1037" s="32"/>
      <c r="G1037" s="6"/>
      <c r="H1037" s="6"/>
      <c r="I1037" s="6"/>
      <c r="J1037" s="6"/>
      <c r="K1037" s="6"/>
      <c r="L1037" s="6"/>
      <c r="M1037" s="6"/>
      <c r="N1037" s="6"/>
      <c r="O1037" s="31"/>
      <c r="P1037" s="32"/>
      <c r="Q1037" s="6"/>
      <c r="R1037" s="59"/>
      <c r="S1037" s="1"/>
      <c r="T1037" s="1"/>
      <c r="U1037" s="1"/>
    </row>
    <row r="1038" spans="1:21" ht="9.75" customHeight="1" x14ac:dyDescent="0.4">
      <c r="A1038" s="1"/>
      <c r="B1038" s="1"/>
      <c r="C1038" s="17"/>
      <c r="D1038" s="17" t="s">
        <v>374</v>
      </c>
      <c r="E1038" s="17"/>
      <c r="F1038" s="32"/>
      <c r="G1038" s="6"/>
      <c r="H1038" s="6"/>
      <c r="I1038" s="6"/>
      <c r="J1038" s="6"/>
      <c r="K1038" s="6"/>
      <c r="L1038" s="6"/>
      <c r="M1038" s="6"/>
      <c r="N1038" s="6"/>
      <c r="O1038" s="31"/>
      <c r="P1038" s="32"/>
      <c r="Q1038" s="6"/>
      <c r="R1038" s="59"/>
      <c r="S1038" s="1"/>
      <c r="T1038" s="1"/>
      <c r="U1038" s="1"/>
    </row>
    <row r="1039" spans="1:21" ht="9.75" customHeight="1" x14ac:dyDescent="0.4">
      <c r="A1039" s="1"/>
      <c r="B1039" s="1"/>
      <c r="C1039" s="17"/>
      <c r="D1039" s="17" t="s">
        <v>374</v>
      </c>
      <c r="E1039" s="17"/>
      <c r="F1039" s="32"/>
      <c r="G1039" s="6"/>
      <c r="H1039" s="6"/>
      <c r="I1039" s="6"/>
      <c r="J1039" s="6"/>
      <c r="K1039" s="6"/>
      <c r="L1039" s="6"/>
      <c r="M1039" s="6"/>
      <c r="N1039" s="6"/>
      <c r="O1039" s="31"/>
      <c r="P1039" s="32"/>
      <c r="Q1039" s="6"/>
      <c r="R1039" s="59"/>
      <c r="S1039" s="1"/>
      <c r="T1039" s="1"/>
      <c r="U1039" s="1"/>
    </row>
    <row r="1040" spans="1:21" ht="9.75" customHeight="1" x14ac:dyDescent="0.4">
      <c r="A1040" s="1"/>
      <c r="B1040" s="1"/>
      <c r="C1040" s="17"/>
      <c r="D1040" s="17" t="s">
        <v>374</v>
      </c>
      <c r="E1040" s="17"/>
      <c r="F1040" s="32"/>
      <c r="G1040" s="6"/>
      <c r="H1040" s="6"/>
      <c r="I1040" s="6"/>
      <c r="J1040" s="6"/>
      <c r="K1040" s="6"/>
      <c r="L1040" s="6"/>
      <c r="M1040" s="6"/>
      <c r="N1040" s="6"/>
      <c r="O1040" s="31"/>
      <c r="P1040" s="32"/>
      <c r="Q1040" s="6"/>
      <c r="R1040" s="59"/>
      <c r="S1040" s="1"/>
      <c r="T1040" s="1"/>
      <c r="U1040" s="1"/>
    </row>
    <row r="1041" spans="1:21" ht="9.75" customHeight="1" x14ac:dyDescent="0.4">
      <c r="A1041" s="1"/>
      <c r="B1041" s="1"/>
      <c r="C1041" s="17"/>
      <c r="D1041" s="17" t="s">
        <v>374</v>
      </c>
      <c r="E1041" s="17"/>
      <c r="F1041" s="32"/>
      <c r="G1041" s="6"/>
      <c r="H1041" s="6"/>
      <c r="I1041" s="6"/>
      <c r="J1041" s="6"/>
      <c r="K1041" s="6"/>
      <c r="L1041" s="6"/>
      <c r="M1041" s="6"/>
      <c r="N1041" s="6"/>
      <c r="O1041" s="31"/>
      <c r="P1041" s="32"/>
      <c r="Q1041" s="6"/>
      <c r="R1041" s="59"/>
      <c r="S1041" s="1"/>
      <c r="T1041" s="1"/>
      <c r="U1041" s="1"/>
    </row>
    <row r="1042" spans="1:21" ht="9.75" customHeight="1" x14ac:dyDescent="0.4">
      <c r="A1042" s="1"/>
      <c r="B1042" s="1"/>
      <c r="C1042" s="17"/>
      <c r="D1042" s="17" t="s">
        <v>374</v>
      </c>
      <c r="E1042" s="17"/>
      <c r="F1042" s="32"/>
      <c r="G1042" s="6"/>
      <c r="H1042" s="6"/>
      <c r="I1042" s="6"/>
      <c r="J1042" s="6"/>
      <c r="K1042" s="6"/>
      <c r="L1042" s="6"/>
      <c r="M1042" s="6"/>
      <c r="N1042" s="6"/>
      <c r="O1042" s="31"/>
      <c r="P1042" s="32"/>
      <c r="Q1042" s="6"/>
      <c r="R1042" s="59"/>
      <c r="S1042" s="1"/>
      <c r="T1042" s="1"/>
      <c r="U1042" s="1"/>
    </row>
    <row r="1043" spans="1:21" ht="9.75" customHeight="1" x14ac:dyDescent="0.4">
      <c r="A1043" s="1"/>
      <c r="B1043" s="1"/>
      <c r="C1043" s="17"/>
      <c r="D1043" s="17" t="s">
        <v>310</v>
      </c>
      <c r="E1043" s="17">
        <v>1</v>
      </c>
      <c r="F1043" s="32">
        <v>1</v>
      </c>
      <c r="G1043" s="6">
        <v>1</v>
      </c>
      <c r="H1043" s="6">
        <v>1</v>
      </c>
      <c r="I1043" s="6">
        <v>1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31">
        <v>0</v>
      </c>
      <c r="P1043" s="32">
        <f>MIN(F1043:O1043)</f>
        <v>0</v>
      </c>
      <c r="Q1043" s="6">
        <f>E1043-P1043</f>
        <v>1</v>
      </c>
      <c r="R1043" s="59">
        <f>Q1043/E1043</f>
        <v>1</v>
      </c>
      <c r="S1043" s="1"/>
      <c r="T1043" s="1"/>
      <c r="U1043" s="1"/>
    </row>
    <row r="1044" spans="1:21" ht="9.75" customHeight="1" x14ac:dyDescent="0.4">
      <c r="A1044" s="1"/>
      <c r="B1044" s="1"/>
      <c r="C1044" s="17"/>
      <c r="D1044" s="17" t="s">
        <v>311</v>
      </c>
      <c r="E1044" s="17"/>
      <c r="F1044" s="32"/>
      <c r="G1044" s="6"/>
      <c r="H1044" s="6"/>
      <c r="I1044" s="6"/>
      <c r="J1044" s="6"/>
      <c r="K1044" s="6"/>
      <c r="L1044" s="6"/>
      <c r="M1044" s="6"/>
      <c r="N1044" s="6"/>
      <c r="O1044" s="31"/>
      <c r="P1044" s="32"/>
      <c r="Q1044" s="6"/>
      <c r="R1044" s="59"/>
      <c r="S1044" s="1"/>
      <c r="T1044" s="1"/>
      <c r="U1044" s="1"/>
    </row>
    <row r="1045" spans="1:21" ht="9.75" customHeight="1" x14ac:dyDescent="0.4">
      <c r="A1045" s="1"/>
      <c r="B1045" s="1"/>
      <c r="C1045" s="17"/>
      <c r="D1045" s="17" t="s">
        <v>312</v>
      </c>
      <c r="E1045" s="17"/>
      <c r="F1045" s="32"/>
      <c r="G1045" s="6"/>
      <c r="H1045" s="6"/>
      <c r="I1045" s="6"/>
      <c r="J1045" s="6"/>
      <c r="K1045" s="6"/>
      <c r="L1045" s="6"/>
      <c r="M1045" s="6"/>
      <c r="N1045" s="6"/>
      <c r="O1045" s="31"/>
      <c r="P1045" s="32"/>
      <c r="Q1045" s="6"/>
      <c r="R1045" s="59"/>
      <c r="S1045" s="1"/>
      <c r="T1045" s="1"/>
      <c r="U1045" s="1"/>
    </row>
    <row r="1046" spans="1:21" ht="9.75" customHeight="1" x14ac:dyDescent="0.4">
      <c r="A1046" s="1"/>
      <c r="B1046" s="1"/>
      <c r="C1046" s="17"/>
      <c r="D1046" s="17" t="s">
        <v>313</v>
      </c>
      <c r="E1046" s="17">
        <v>2</v>
      </c>
      <c r="F1046" s="32">
        <v>1</v>
      </c>
      <c r="G1046" s="6">
        <v>2</v>
      </c>
      <c r="H1046" s="6">
        <v>2</v>
      </c>
      <c r="I1046" s="6">
        <v>2</v>
      </c>
      <c r="J1046" s="6">
        <v>2</v>
      </c>
      <c r="K1046" s="6">
        <v>0</v>
      </c>
      <c r="L1046" s="6">
        <v>1</v>
      </c>
      <c r="M1046" s="6">
        <v>0</v>
      </c>
      <c r="N1046" s="6">
        <v>0</v>
      </c>
      <c r="O1046" s="31">
        <v>0</v>
      </c>
      <c r="P1046" s="32">
        <f t="shared" ref="P1046:P1048" si="162">MIN(F1046:O1046)</f>
        <v>0</v>
      </c>
      <c r="Q1046" s="6">
        <f t="shared" ref="Q1046:Q1048" si="163">E1046-P1046</f>
        <v>2</v>
      </c>
      <c r="R1046" s="59">
        <f t="shared" ref="R1046:R1048" si="164">Q1046/E1046</f>
        <v>1</v>
      </c>
      <c r="S1046" s="1"/>
      <c r="T1046" s="1"/>
      <c r="U1046" s="1"/>
    </row>
    <row r="1047" spans="1:21" ht="9.75" customHeight="1" x14ac:dyDescent="0.4">
      <c r="A1047" s="1"/>
      <c r="B1047" s="1" t="s">
        <v>395</v>
      </c>
      <c r="C1047" s="34"/>
      <c r="D1047" s="65" t="s">
        <v>314</v>
      </c>
      <c r="E1047" s="65">
        <f t="shared" ref="E1047:L1047" si="165">SUM(E1031:E1046)</f>
        <v>100</v>
      </c>
      <c r="F1047" s="104">
        <f t="shared" si="165"/>
        <v>2</v>
      </c>
      <c r="G1047" s="128">
        <f t="shared" si="165"/>
        <v>3</v>
      </c>
      <c r="H1047" s="128">
        <f t="shared" si="165"/>
        <v>4</v>
      </c>
      <c r="I1047" s="128">
        <f t="shared" si="165"/>
        <v>5</v>
      </c>
      <c r="J1047" s="128">
        <f t="shared" si="165"/>
        <v>2</v>
      </c>
      <c r="K1047" s="128">
        <f t="shared" si="165"/>
        <v>0</v>
      </c>
      <c r="L1047" s="128">
        <f t="shared" si="165"/>
        <v>1</v>
      </c>
      <c r="M1047" s="128"/>
      <c r="N1047" s="128">
        <f t="shared" ref="N1047:O1047" si="166">SUM(N1031:N1046)</f>
        <v>0</v>
      </c>
      <c r="O1047" s="129">
        <f t="shared" si="166"/>
        <v>4</v>
      </c>
      <c r="P1047" s="104">
        <f t="shared" si="162"/>
        <v>0</v>
      </c>
      <c r="Q1047" s="128">
        <f t="shared" si="163"/>
        <v>100</v>
      </c>
      <c r="R1047" s="72">
        <f t="shared" si="164"/>
        <v>1</v>
      </c>
      <c r="S1047" s="1"/>
      <c r="T1047" s="1"/>
      <c r="U1047" s="1"/>
    </row>
    <row r="1048" spans="1:21" ht="9.75" customHeight="1" x14ac:dyDescent="0.4">
      <c r="A1048" s="1"/>
      <c r="B1048" s="1"/>
      <c r="C1048" s="15" t="s">
        <v>80</v>
      </c>
      <c r="D1048" s="15" t="s">
        <v>439</v>
      </c>
      <c r="E1048" s="15">
        <v>4</v>
      </c>
      <c r="F1048" s="73">
        <v>1</v>
      </c>
      <c r="G1048" s="108">
        <v>1</v>
      </c>
      <c r="H1048" s="108">
        <v>0</v>
      </c>
      <c r="I1048" s="108">
        <v>1</v>
      </c>
      <c r="J1048" s="108">
        <v>0</v>
      </c>
      <c r="K1048" s="108">
        <v>0</v>
      </c>
      <c r="L1048" s="108">
        <v>1</v>
      </c>
      <c r="M1048" s="108">
        <v>1</v>
      </c>
      <c r="N1048" s="108">
        <v>2</v>
      </c>
      <c r="O1048" s="109">
        <v>3</v>
      </c>
      <c r="P1048" s="73">
        <f t="shared" si="162"/>
        <v>0</v>
      </c>
      <c r="Q1048" s="108">
        <f t="shared" si="163"/>
        <v>4</v>
      </c>
      <c r="R1048" s="188">
        <f t="shared" si="164"/>
        <v>1</v>
      </c>
      <c r="S1048" s="1"/>
      <c r="T1048" s="1"/>
      <c r="U1048" s="1"/>
    </row>
    <row r="1049" spans="1:21" ht="9.75" customHeight="1" x14ac:dyDescent="0.4">
      <c r="A1049" s="1"/>
      <c r="B1049" s="1"/>
      <c r="C1049" s="17"/>
      <c r="D1049" s="17" t="s">
        <v>301</v>
      </c>
      <c r="E1049" s="17"/>
      <c r="F1049" s="32"/>
      <c r="G1049" s="6"/>
      <c r="H1049" s="6"/>
      <c r="I1049" s="6"/>
      <c r="J1049" s="6"/>
      <c r="K1049" s="6"/>
      <c r="L1049" s="6"/>
      <c r="M1049" s="6"/>
      <c r="N1049" s="6"/>
      <c r="O1049" s="31"/>
      <c r="P1049" s="32"/>
      <c r="Q1049" s="6"/>
      <c r="R1049" s="59"/>
      <c r="S1049" s="1"/>
      <c r="T1049" s="1"/>
      <c r="U1049" s="1"/>
    </row>
    <row r="1050" spans="1:21" ht="9.75" customHeight="1" x14ac:dyDescent="0.4">
      <c r="A1050" s="1"/>
      <c r="B1050" s="1"/>
      <c r="C1050" s="17"/>
      <c r="D1050" s="17" t="s">
        <v>303</v>
      </c>
      <c r="E1050" s="17"/>
      <c r="F1050" s="32"/>
      <c r="G1050" s="6"/>
      <c r="H1050" s="6"/>
      <c r="I1050" s="6"/>
      <c r="J1050" s="6"/>
      <c r="K1050" s="6"/>
      <c r="L1050" s="6"/>
      <c r="M1050" s="6"/>
      <c r="N1050" s="6"/>
      <c r="O1050" s="31"/>
      <c r="P1050" s="32"/>
      <c r="Q1050" s="6"/>
      <c r="R1050" s="59"/>
      <c r="S1050" s="1"/>
      <c r="T1050" s="1"/>
      <c r="U1050" s="1"/>
    </row>
    <row r="1051" spans="1:21" ht="9.75" customHeight="1" x14ac:dyDescent="0.4">
      <c r="A1051" s="1"/>
      <c r="B1051" s="1"/>
      <c r="C1051" s="17"/>
      <c r="D1051" s="17" t="s">
        <v>369</v>
      </c>
      <c r="E1051" s="17">
        <v>3</v>
      </c>
      <c r="F1051" s="32">
        <v>1</v>
      </c>
      <c r="G1051" s="6">
        <v>1</v>
      </c>
      <c r="H1051" s="6">
        <v>1</v>
      </c>
      <c r="I1051" s="6">
        <v>0</v>
      </c>
      <c r="J1051" s="6">
        <v>0</v>
      </c>
      <c r="K1051" s="6">
        <v>1</v>
      </c>
      <c r="L1051" s="6">
        <v>0</v>
      </c>
      <c r="M1051" s="6">
        <v>1</v>
      </c>
      <c r="N1051" s="6">
        <v>0</v>
      </c>
      <c r="O1051" s="31">
        <v>1</v>
      </c>
      <c r="P1051" s="32">
        <f>MIN(F1051:O1051)</f>
        <v>0</v>
      </c>
      <c r="Q1051" s="6">
        <f>E1051-P1051</f>
        <v>3</v>
      </c>
      <c r="R1051" s="59">
        <f>Q1051/E1051</f>
        <v>1</v>
      </c>
      <c r="S1051" s="1"/>
      <c r="T1051" s="1"/>
      <c r="U1051" s="1"/>
    </row>
    <row r="1052" spans="1:21" ht="9.75" customHeight="1" x14ac:dyDescent="0.4">
      <c r="A1052" s="1"/>
      <c r="B1052" s="1"/>
      <c r="C1052" s="17"/>
      <c r="D1052" s="17" t="s">
        <v>369</v>
      </c>
      <c r="E1052" s="17"/>
      <c r="F1052" s="32"/>
      <c r="G1052" s="6"/>
      <c r="H1052" s="6"/>
      <c r="I1052" s="6"/>
      <c r="J1052" s="6"/>
      <c r="K1052" s="6"/>
      <c r="L1052" s="6"/>
      <c r="M1052" s="6"/>
      <c r="N1052" s="6"/>
      <c r="O1052" s="31"/>
      <c r="P1052" s="32"/>
      <c r="Q1052" s="6"/>
      <c r="R1052" s="59"/>
      <c r="S1052" s="1"/>
      <c r="T1052" s="1"/>
      <c r="U1052" s="1"/>
    </row>
    <row r="1053" spans="1:21" ht="9.75" customHeight="1" x14ac:dyDescent="0.4">
      <c r="A1053" s="1"/>
      <c r="B1053" s="1"/>
      <c r="C1053" s="17"/>
      <c r="D1053" s="17" t="s">
        <v>308</v>
      </c>
      <c r="E1053" s="17">
        <v>4</v>
      </c>
      <c r="F1053" s="32">
        <v>0</v>
      </c>
      <c r="G1053" s="6">
        <v>1</v>
      </c>
      <c r="H1053" s="6">
        <v>1</v>
      </c>
      <c r="I1053" s="6">
        <v>1</v>
      </c>
      <c r="J1053" s="6">
        <v>0</v>
      </c>
      <c r="K1053" s="6">
        <v>1</v>
      </c>
      <c r="L1053" s="6">
        <v>1</v>
      </c>
      <c r="M1053" s="6">
        <v>1</v>
      </c>
      <c r="N1053" s="6">
        <v>1</v>
      </c>
      <c r="O1053" s="31">
        <v>1</v>
      </c>
      <c r="P1053" s="32">
        <f>MIN(F1053:O1053)</f>
        <v>0</v>
      </c>
      <c r="Q1053" s="6">
        <f>E1053-P1053</f>
        <v>4</v>
      </c>
      <c r="R1053" s="59">
        <f>Q1053/E1053</f>
        <v>1</v>
      </c>
      <c r="S1053" s="1"/>
      <c r="T1053" s="1"/>
      <c r="U1053" s="1"/>
    </row>
    <row r="1054" spans="1:21" ht="9.75" customHeight="1" x14ac:dyDescent="0.4">
      <c r="A1054" s="1"/>
      <c r="B1054" s="1"/>
      <c r="C1054" s="17"/>
      <c r="D1054" s="17" t="s">
        <v>374</v>
      </c>
      <c r="E1054" s="17"/>
      <c r="F1054" s="32"/>
      <c r="G1054" s="6"/>
      <c r="H1054" s="6"/>
      <c r="I1054" s="6"/>
      <c r="J1054" s="6"/>
      <c r="K1054" s="6"/>
      <c r="L1054" s="6"/>
      <c r="M1054" s="6"/>
      <c r="N1054" s="6"/>
      <c r="O1054" s="31"/>
      <c r="P1054" s="32"/>
      <c r="Q1054" s="6"/>
      <c r="R1054" s="59"/>
      <c r="S1054" s="1"/>
      <c r="T1054" s="1"/>
      <c r="U1054" s="1"/>
    </row>
    <row r="1055" spans="1:21" ht="9.75" customHeight="1" x14ac:dyDescent="0.4">
      <c r="A1055" s="1"/>
      <c r="B1055" s="1"/>
      <c r="C1055" s="17"/>
      <c r="D1055" s="17" t="s">
        <v>374</v>
      </c>
      <c r="E1055" s="17"/>
      <c r="F1055" s="32"/>
      <c r="G1055" s="6"/>
      <c r="H1055" s="6"/>
      <c r="I1055" s="6"/>
      <c r="J1055" s="6"/>
      <c r="K1055" s="6"/>
      <c r="L1055" s="6"/>
      <c r="M1055" s="6"/>
      <c r="N1055" s="6"/>
      <c r="O1055" s="31"/>
      <c r="P1055" s="32"/>
      <c r="Q1055" s="6"/>
      <c r="R1055" s="59"/>
      <c r="S1055" s="1"/>
      <c r="T1055" s="1"/>
      <c r="U1055" s="1"/>
    </row>
    <row r="1056" spans="1:21" ht="9.75" customHeight="1" x14ac:dyDescent="0.4">
      <c r="A1056" s="1"/>
      <c r="B1056" s="1"/>
      <c r="C1056" s="17"/>
      <c r="D1056" s="17" t="s">
        <v>374</v>
      </c>
      <c r="E1056" s="17"/>
      <c r="F1056" s="32"/>
      <c r="G1056" s="6"/>
      <c r="H1056" s="6"/>
      <c r="I1056" s="6"/>
      <c r="J1056" s="6"/>
      <c r="K1056" s="6"/>
      <c r="L1056" s="6"/>
      <c r="M1056" s="6"/>
      <c r="N1056" s="6"/>
      <c r="O1056" s="31"/>
      <c r="P1056" s="32"/>
      <c r="Q1056" s="6"/>
      <c r="R1056" s="59"/>
      <c r="S1056" s="1"/>
      <c r="T1056" s="1"/>
      <c r="U1056" s="1"/>
    </row>
    <row r="1057" spans="1:21" ht="9.75" customHeight="1" x14ac:dyDescent="0.4">
      <c r="A1057" s="1"/>
      <c r="B1057" s="1"/>
      <c r="C1057" s="17"/>
      <c r="D1057" s="17" t="s">
        <v>374</v>
      </c>
      <c r="E1057" s="17"/>
      <c r="F1057" s="32"/>
      <c r="G1057" s="6"/>
      <c r="H1057" s="6"/>
      <c r="I1057" s="6"/>
      <c r="J1057" s="6"/>
      <c r="K1057" s="6"/>
      <c r="L1057" s="6"/>
      <c r="M1057" s="6"/>
      <c r="N1057" s="6"/>
      <c r="O1057" s="31"/>
      <c r="P1057" s="32"/>
      <c r="Q1057" s="6"/>
      <c r="R1057" s="59"/>
      <c r="S1057" s="1"/>
      <c r="T1057" s="1"/>
      <c r="U1057" s="1"/>
    </row>
    <row r="1058" spans="1:21" ht="9.75" customHeight="1" x14ac:dyDescent="0.4">
      <c r="A1058" s="1"/>
      <c r="B1058" s="1"/>
      <c r="C1058" s="17"/>
      <c r="D1058" s="17" t="s">
        <v>374</v>
      </c>
      <c r="E1058" s="17"/>
      <c r="F1058" s="32"/>
      <c r="G1058" s="6"/>
      <c r="H1058" s="6"/>
      <c r="I1058" s="6"/>
      <c r="J1058" s="6"/>
      <c r="K1058" s="6"/>
      <c r="L1058" s="6"/>
      <c r="M1058" s="6"/>
      <c r="N1058" s="6"/>
      <c r="O1058" s="31"/>
      <c r="P1058" s="32"/>
      <c r="Q1058" s="6"/>
      <c r="R1058" s="59"/>
      <c r="S1058" s="1"/>
      <c r="T1058" s="1"/>
      <c r="U1058" s="1"/>
    </row>
    <row r="1059" spans="1:21" ht="9.75" customHeight="1" x14ac:dyDescent="0.4">
      <c r="A1059" s="1"/>
      <c r="B1059" s="1"/>
      <c r="C1059" s="17"/>
      <c r="D1059" s="17" t="s">
        <v>374</v>
      </c>
      <c r="E1059" s="17"/>
      <c r="F1059" s="32"/>
      <c r="G1059" s="6"/>
      <c r="H1059" s="6"/>
      <c r="I1059" s="6"/>
      <c r="J1059" s="6"/>
      <c r="K1059" s="6"/>
      <c r="L1059" s="6"/>
      <c r="M1059" s="6"/>
      <c r="N1059" s="6"/>
      <c r="O1059" s="31"/>
      <c r="P1059" s="32"/>
      <c r="Q1059" s="6"/>
      <c r="R1059" s="59"/>
      <c r="S1059" s="1"/>
      <c r="T1059" s="1"/>
      <c r="U1059" s="1"/>
    </row>
    <row r="1060" spans="1:21" ht="9.75" customHeight="1" x14ac:dyDescent="0.4">
      <c r="A1060" s="1"/>
      <c r="B1060" s="1"/>
      <c r="C1060" s="17"/>
      <c r="D1060" s="17" t="s">
        <v>310</v>
      </c>
      <c r="E1060" s="17">
        <v>3</v>
      </c>
      <c r="F1060" s="32">
        <v>0</v>
      </c>
      <c r="G1060" s="6">
        <v>1</v>
      </c>
      <c r="H1060" s="6">
        <v>3</v>
      </c>
      <c r="I1060" s="6">
        <v>1</v>
      </c>
      <c r="J1060" s="6">
        <v>0</v>
      </c>
      <c r="K1060" s="6">
        <v>0</v>
      </c>
      <c r="L1060" s="6">
        <v>0</v>
      </c>
      <c r="M1060" s="6">
        <v>1</v>
      </c>
      <c r="N1060" s="6">
        <v>1</v>
      </c>
      <c r="O1060" s="31">
        <v>1</v>
      </c>
      <c r="P1060" s="32">
        <f t="shared" ref="P1060:P1064" si="167">MIN(F1060:O1060)</f>
        <v>0</v>
      </c>
      <c r="Q1060" s="6">
        <f t="shared" ref="Q1060:Q1064" si="168">E1060-P1060</f>
        <v>3</v>
      </c>
      <c r="R1060" s="59">
        <f t="shared" ref="R1060:R1064" si="169">Q1060/E1060</f>
        <v>1</v>
      </c>
      <c r="S1060" s="1"/>
      <c r="T1060" s="1"/>
      <c r="U1060" s="1"/>
    </row>
    <row r="1061" spans="1:21" ht="9.75" customHeight="1" x14ac:dyDescent="0.4">
      <c r="A1061" s="1"/>
      <c r="B1061" s="1"/>
      <c r="C1061" s="17"/>
      <c r="D1061" s="17" t="s">
        <v>311</v>
      </c>
      <c r="E1061" s="17">
        <v>2</v>
      </c>
      <c r="F1061" s="32">
        <v>2</v>
      </c>
      <c r="G1061" s="6">
        <v>2</v>
      </c>
      <c r="H1061" s="6">
        <v>2</v>
      </c>
      <c r="I1061" s="6">
        <v>2</v>
      </c>
      <c r="J1061" s="6">
        <v>2</v>
      </c>
      <c r="K1061" s="6">
        <v>2</v>
      </c>
      <c r="L1061" s="6">
        <v>1</v>
      </c>
      <c r="M1061" s="6">
        <v>2</v>
      </c>
      <c r="N1061" s="6">
        <v>2</v>
      </c>
      <c r="O1061" s="31">
        <v>2</v>
      </c>
      <c r="P1061" s="32">
        <f t="shared" si="167"/>
        <v>1</v>
      </c>
      <c r="Q1061" s="6">
        <f t="shared" si="168"/>
        <v>1</v>
      </c>
      <c r="R1061" s="59">
        <f t="shared" si="169"/>
        <v>0.5</v>
      </c>
      <c r="S1061" s="1"/>
      <c r="T1061" s="1"/>
      <c r="U1061" s="1"/>
    </row>
    <row r="1062" spans="1:21" ht="9.75" customHeight="1" x14ac:dyDescent="0.4">
      <c r="A1062" s="1"/>
      <c r="B1062" s="1"/>
      <c r="C1062" s="17"/>
      <c r="D1062" s="17" t="s">
        <v>312</v>
      </c>
      <c r="E1062" s="17">
        <v>2</v>
      </c>
      <c r="F1062" s="32">
        <v>2</v>
      </c>
      <c r="G1062" s="6">
        <v>2</v>
      </c>
      <c r="H1062" s="6">
        <v>2</v>
      </c>
      <c r="I1062" s="6">
        <v>2</v>
      </c>
      <c r="J1062" s="6">
        <v>2</v>
      </c>
      <c r="K1062" s="6">
        <v>2</v>
      </c>
      <c r="L1062" s="6">
        <v>2</v>
      </c>
      <c r="M1062" s="6">
        <v>2</v>
      </c>
      <c r="N1062" s="6">
        <v>1</v>
      </c>
      <c r="O1062" s="31">
        <v>1</v>
      </c>
      <c r="P1062" s="32">
        <f t="shared" si="167"/>
        <v>1</v>
      </c>
      <c r="Q1062" s="6">
        <f t="shared" si="168"/>
        <v>1</v>
      </c>
      <c r="R1062" s="59">
        <f t="shared" si="169"/>
        <v>0.5</v>
      </c>
      <c r="S1062" s="1"/>
      <c r="T1062" s="1"/>
      <c r="U1062" s="1"/>
    </row>
    <row r="1063" spans="1:21" ht="9.75" customHeight="1" x14ac:dyDescent="0.4">
      <c r="A1063" s="1"/>
      <c r="B1063" s="1"/>
      <c r="C1063" s="17"/>
      <c r="D1063" s="17" t="s">
        <v>313</v>
      </c>
      <c r="E1063" s="17">
        <v>8</v>
      </c>
      <c r="F1063" s="32">
        <v>8</v>
      </c>
      <c r="G1063" s="6">
        <v>3</v>
      </c>
      <c r="H1063" s="6">
        <v>4</v>
      </c>
      <c r="I1063" s="6">
        <v>3</v>
      </c>
      <c r="J1063" s="6">
        <v>4</v>
      </c>
      <c r="K1063" s="6">
        <v>2</v>
      </c>
      <c r="L1063" s="6">
        <v>1</v>
      </c>
      <c r="M1063" s="6">
        <v>0</v>
      </c>
      <c r="N1063" s="6">
        <v>5</v>
      </c>
      <c r="O1063" s="31">
        <v>5</v>
      </c>
      <c r="P1063" s="32">
        <f t="shared" si="167"/>
        <v>0</v>
      </c>
      <c r="Q1063" s="6">
        <f t="shared" si="168"/>
        <v>8</v>
      </c>
      <c r="R1063" s="59">
        <f t="shared" si="169"/>
        <v>1</v>
      </c>
      <c r="S1063" s="1"/>
      <c r="T1063" s="1"/>
      <c r="U1063" s="1"/>
    </row>
    <row r="1064" spans="1:21" ht="9.75" customHeight="1" x14ac:dyDescent="0.4">
      <c r="A1064" s="1"/>
      <c r="B1064" s="1" t="s">
        <v>395</v>
      </c>
      <c r="C1064" s="34"/>
      <c r="D1064" s="65" t="s">
        <v>314</v>
      </c>
      <c r="E1064" s="65">
        <f t="shared" ref="E1064:O1064" si="170">SUM(E1048:E1063)</f>
        <v>26</v>
      </c>
      <c r="F1064" s="104">
        <f t="shared" si="170"/>
        <v>14</v>
      </c>
      <c r="G1064" s="128">
        <f t="shared" si="170"/>
        <v>11</v>
      </c>
      <c r="H1064" s="128">
        <f t="shared" si="170"/>
        <v>13</v>
      </c>
      <c r="I1064" s="128">
        <f t="shared" si="170"/>
        <v>10</v>
      </c>
      <c r="J1064" s="128">
        <f t="shared" si="170"/>
        <v>8</v>
      </c>
      <c r="K1064" s="128">
        <f t="shared" si="170"/>
        <v>8</v>
      </c>
      <c r="L1064" s="128">
        <f t="shared" si="170"/>
        <v>6</v>
      </c>
      <c r="M1064" s="128">
        <f t="shared" si="170"/>
        <v>8</v>
      </c>
      <c r="N1064" s="128">
        <f t="shared" si="170"/>
        <v>12</v>
      </c>
      <c r="O1064" s="129">
        <f t="shared" si="170"/>
        <v>14</v>
      </c>
      <c r="P1064" s="104">
        <f t="shared" si="167"/>
        <v>6</v>
      </c>
      <c r="Q1064" s="128">
        <f t="shared" si="168"/>
        <v>20</v>
      </c>
      <c r="R1064" s="72">
        <f t="shared" si="169"/>
        <v>0.76923076923076927</v>
      </c>
      <c r="S1064" s="1"/>
      <c r="T1064" s="1"/>
      <c r="U1064" s="1"/>
    </row>
    <row r="1065" spans="1:21" ht="9.75" customHeight="1" x14ac:dyDescent="0.4">
      <c r="A1065" s="1"/>
      <c r="B1065" s="1"/>
      <c r="C1065" s="19" t="s">
        <v>440</v>
      </c>
      <c r="D1065" s="19" t="s">
        <v>300</v>
      </c>
      <c r="E1065" s="19"/>
      <c r="F1065" s="133"/>
      <c r="G1065" s="222"/>
      <c r="H1065" s="222"/>
      <c r="I1065" s="222"/>
      <c r="J1065" s="222"/>
      <c r="K1065" s="222"/>
      <c r="L1065" s="222"/>
      <c r="M1065" s="222"/>
      <c r="N1065" s="222"/>
      <c r="O1065" s="223"/>
      <c r="P1065" s="133"/>
      <c r="Q1065" s="222"/>
      <c r="R1065" s="224"/>
      <c r="S1065" s="1"/>
      <c r="T1065" s="1"/>
      <c r="U1065" s="1"/>
    </row>
    <row r="1066" spans="1:21" ht="9.75" customHeight="1" x14ac:dyDescent="0.4">
      <c r="A1066" s="1"/>
      <c r="B1066" s="1"/>
      <c r="C1066" s="24" t="s">
        <v>330</v>
      </c>
      <c r="D1066" s="24" t="s">
        <v>301</v>
      </c>
      <c r="E1066" s="24"/>
      <c r="F1066" s="134"/>
      <c r="G1066" s="135"/>
      <c r="H1066" s="135"/>
      <c r="I1066" s="135"/>
      <c r="J1066" s="135"/>
      <c r="K1066" s="135"/>
      <c r="L1066" s="135"/>
      <c r="M1066" s="135"/>
      <c r="N1066" s="135"/>
      <c r="O1066" s="136"/>
      <c r="P1066" s="134"/>
      <c r="Q1066" s="135"/>
      <c r="R1066" s="137"/>
      <c r="S1066" s="1"/>
      <c r="T1066" s="1"/>
      <c r="U1066" s="1"/>
    </row>
    <row r="1067" spans="1:21" ht="9.75" customHeight="1" x14ac:dyDescent="0.4">
      <c r="A1067" s="1"/>
      <c r="B1067" s="1"/>
      <c r="C1067" s="24" t="s">
        <v>441</v>
      </c>
      <c r="D1067" s="24" t="s">
        <v>303</v>
      </c>
      <c r="E1067" s="24"/>
      <c r="F1067" s="134"/>
      <c r="G1067" s="135"/>
      <c r="H1067" s="135"/>
      <c r="I1067" s="135"/>
      <c r="J1067" s="135"/>
      <c r="K1067" s="135"/>
      <c r="L1067" s="135"/>
      <c r="M1067" s="135"/>
      <c r="N1067" s="135"/>
      <c r="O1067" s="136"/>
      <c r="P1067" s="134"/>
      <c r="Q1067" s="135"/>
      <c r="R1067" s="137"/>
      <c r="S1067" s="1"/>
      <c r="T1067" s="1"/>
      <c r="U1067" s="1"/>
    </row>
    <row r="1068" spans="1:21" ht="9.75" customHeight="1" x14ac:dyDescent="0.4">
      <c r="A1068" s="1"/>
      <c r="B1068" s="1"/>
      <c r="C1068" s="24" t="s">
        <v>332</v>
      </c>
      <c r="D1068" s="24" t="s">
        <v>369</v>
      </c>
      <c r="E1068" s="24"/>
      <c r="F1068" s="134"/>
      <c r="G1068" s="135"/>
      <c r="H1068" s="135"/>
      <c r="I1068" s="135"/>
      <c r="J1068" s="135"/>
      <c r="K1068" s="135"/>
      <c r="L1068" s="135"/>
      <c r="M1068" s="135"/>
      <c r="N1068" s="135"/>
      <c r="O1068" s="136"/>
      <c r="P1068" s="134"/>
      <c r="Q1068" s="135"/>
      <c r="R1068" s="137"/>
      <c r="S1068" s="1"/>
      <c r="T1068" s="1"/>
      <c r="U1068" s="1"/>
    </row>
    <row r="1069" spans="1:21" ht="9.75" customHeight="1" x14ac:dyDescent="0.4">
      <c r="A1069" s="1"/>
      <c r="B1069" s="1"/>
      <c r="C1069" s="24"/>
      <c r="D1069" s="24" t="s">
        <v>369</v>
      </c>
      <c r="E1069" s="24"/>
      <c r="F1069" s="134"/>
      <c r="G1069" s="135"/>
      <c r="H1069" s="135"/>
      <c r="I1069" s="135"/>
      <c r="J1069" s="135"/>
      <c r="K1069" s="135"/>
      <c r="L1069" s="135"/>
      <c r="M1069" s="135"/>
      <c r="N1069" s="135"/>
      <c r="O1069" s="136"/>
      <c r="P1069" s="134"/>
      <c r="Q1069" s="135"/>
      <c r="R1069" s="137"/>
      <c r="S1069" s="1"/>
      <c r="T1069" s="1"/>
      <c r="U1069" s="1"/>
    </row>
    <row r="1070" spans="1:21" ht="9.75" customHeight="1" x14ac:dyDescent="0.4">
      <c r="A1070" s="1"/>
      <c r="B1070" s="1"/>
      <c r="C1070" s="24"/>
      <c r="D1070" s="24" t="s">
        <v>308</v>
      </c>
      <c r="E1070" s="24"/>
      <c r="F1070" s="134"/>
      <c r="G1070" s="135"/>
      <c r="H1070" s="135"/>
      <c r="I1070" s="135"/>
      <c r="J1070" s="135"/>
      <c r="K1070" s="135"/>
      <c r="L1070" s="135"/>
      <c r="M1070" s="135"/>
      <c r="N1070" s="135"/>
      <c r="O1070" s="136"/>
      <c r="P1070" s="134"/>
      <c r="Q1070" s="135"/>
      <c r="R1070" s="137"/>
      <c r="S1070" s="1"/>
      <c r="T1070" s="1"/>
      <c r="U1070" s="1"/>
    </row>
    <row r="1071" spans="1:21" ht="9.75" customHeight="1" x14ac:dyDescent="0.4">
      <c r="A1071" s="1"/>
      <c r="B1071" s="1"/>
      <c r="C1071" s="24"/>
      <c r="D1071" s="24" t="s">
        <v>372</v>
      </c>
      <c r="E1071" s="24"/>
      <c r="F1071" s="134"/>
      <c r="G1071" s="135"/>
      <c r="H1071" s="135"/>
      <c r="I1071" s="135"/>
      <c r="J1071" s="135"/>
      <c r="K1071" s="135"/>
      <c r="L1071" s="135"/>
      <c r="M1071" s="135"/>
      <c r="N1071" s="135"/>
      <c r="O1071" s="136"/>
      <c r="P1071" s="134"/>
      <c r="Q1071" s="135"/>
      <c r="R1071" s="137"/>
      <c r="S1071" s="1"/>
      <c r="T1071" s="1"/>
      <c r="U1071" s="1"/>
    </row>
    <row r="1072" spans="1:21" ht="9.75" customHeight="1" x14ac:dyDescent="0.4">
      <c r="A1072" s="1"/>
      <c r="B1072" s="1"/>
      <c r="C1072" s="24"/>
      <c r="D1072" s="24" t="s">
        <v>374</v>
      </c>
      <c r="E1072" s="24"/>
      <c r="F1072" s="134"/>
      <c r="G1072" s="135"/>
      <c r="H1072" s="135"/>
      <c r="I1072" s="135"/>
      <c r="J1072" s="135"/>
      <c r="K1072" s="135"/>
      <c r="L1072" s="135"/>
      <c r="M1072" s="135"/>
      <c r="N1072" s="135"/>
      <c r="O1072" s="136"/>
      <c r="P1072" s="134"/>
      <c r="Q1072" s="135"/>
      <c r="R1072" s="137"/>
      <c r="S1072" s="1"/>
      <c r="T1072" s="1"/>
      <c r="U1072" s="1"/>
    </row>
    <row r="1073" spans="1:21" ht="9.75" customHeight="1" x14ac:dyDescent="0.4">
      <c r="A1073" s="1"/>
      <c r="B1073" s="1"/>
      <c r="C1073" s="24"/>
      <c r="D1073" s="24" t="s">
        <v>374</v>
      </c>
      <c r="E1073" s="24"/>
      <c r="F1073" s="134"/>
      <c r="G1073" s="135"/>
      <c r="H1073" s="135"/>
      <c r="I1073" s="135"/>
      <c r="J1073" s="135"/>
      <c r="K1073" s="135"/>
      <c r="L1073" s="135"/>
      <c r="M1073" s="135"/>
      <c r="N1073" s="135"/>
      <c r="O1073" s="136"/>
      <c r="P1073" s="134"/>
      <c r="Q1073" s="135"/>
      <c r="R1073" s="137"/>
      <c r="S1073" s="1"/>
      <c r="T1073" s="1"/>
      <c r="U1073" s="1"/>
    </row>
    <row r="1074" spans="1:21" ht="9.75" customHeight="1" x14ac:dyDescent="0.4">
      <c r="A1074" s="1"/>
      <c r="B1074" s="1"/>
      <c r="C1074" s="24"/>
      <c r="D1074" s="24" t="s">
        <v>374</v>
      </c>
      <c r="E1074" s="24"/>
      <c r="F1074" s="134"/>
      <c r="G1074" s="135"/>
      <c r="H1074" s="135"/>
      <c r="I1074" s="135"/>
      <c r="J1074" s="135"/>
      <c r="K1074" s="135"/>
      <c r="L1074" s="135"/>
      <c r="M1074" s="135"/>
      <c r="N1074" s="135"/>
      <c r="O1074" s="136"/>
      <c r="P1074" s="134"/>
      <c r="Q1074" s="135"/>
      <c r="R1074" s="137"/>
      <c r="S1074" s="1"/>
      <c r="T1074" s="1"/>
      <c r="U1074" s="1"/>
    </row>
    <row r="1075" spans="1:21" ht="9.75" customHeight="1" x14ac:dyDescent="0.4">
      <c r="A1075" s="1"/>
      <c r="B1075" s="1"/>
      <c r="C1075" s="24"/>
      <c r="D1075" s="24" t="s">
        <v>374</v>
      </c>
      <c r="E1075" s="24"/>
      <c r="F1075" s="134"/>
      <c r="G1075" s="135"/>
      <c r="H1075" s="135"/>
      <c r="I1075" s="135"/>
      <c r="J1075" s="135"/>
      <c r="K1075" s="135"/>
      <c r="L1075" s="135"/>
      <c r="M1075" s="135"/>
      <c r="N1075" s="135"/>
      <c r="O1075" s="136"/>
      <c r="P1075" s="134"/>
      <c r="Q1075" s="135"/>
      <c r="R1075" s="137"/>
      <c r="S1075" s="1"/>
      <c r="T1075" s="1"/>
      <c r="U1075" s="1"/>
    </row>
    <row r="1076" spans="1:21" ht="9.75" customHeight="1" x14ac:dyDescent="0.4">
      <c r="A1076" s="1"/>
      <c r="B1076" s="1"/>
      <c r="C1076" s="24"/>
      <c r="D1076" s="24" t="s">
        <v>374</v>
      </c>
      <c r="E1076" s="24"/>
      <c r="F1076" s="134"/>
      <c r="G1076" s="135"/>
      <c r="H1076" s="135"/>
      <c r="I1076" s="135"/>
      <c r="J1076" s="135"/>
      <c r="K1076" s="135"/>
      <c r="L1076" s="135"/>
      <c r="M1076" s="135"/>
      <c r="N1076" s="135"/>
      <c r="O1076" s="136"/>
      <c r="P1076" s="134"/>
      <c r="Q1076" s="135"/>
      <c r="R1076" s="137"/>
      <c r="S1076" s="1"/>
      <c r="T1076" s="1"/>
      <c r="U1076" s="1"/>
    </row>
    <row r="1077" spans="1:21" ht="9.75" customHeight="1" x14ac:dyDescent="0.4">
      <c r="A1077" s="1"/>
      <c r="B1077" s="1"/>
      <c r="C1077" s="24"/>
      <c r="D1077" s="24" t="s">
        <v>310</v>
      </c>
      <c r="E1077" s="24"/>
      <c r="F1077" s="134"/>
      <c r="G1077" s="135"/>
      <c r="H1077" s="135"/>
      <c r="I1077" s="135"/>
      <c r="J1077" s="135"/>
      <c r="K1077" s="135"/>
      <c r="L1077" s="135"/>
      <c r="M1077" s="135"/>
      <c r="N1077" s="135"/>
      <c r="O1077" s="136"/>
      <c r="P1077" s="134"/>
      <c r="Q1077" s="135"/>
      <c r="R1077" s="137"/>
      <c r="S1077" s="1"/>
      <c r="T1077" s="1"/>
      <c r="U1077" s="1"/>
    </row>
    <row r="1078" spans="1:21" ht="9.75" customHeight="1" x14ac:dyDescent="0.4">
      <c r="A1078" s="1"/>
      <c r="B1078" s="1"/>
      <c r="C1078" s="24"/>
      <c r="D1078" s="24" t="s">
        <v>311</v>
      </c>
      <c r="E1078" s="24"/>
      <c r="F1078" s="134"/>
      <c r="G1078" s="135"/>
      <c r="H1078" s="135"/>
      <c r="I1078" s="135"/>
      <c r="J1078" s="135"/>
      <c r="K1078" s="135"/>
      <c r="L1078" s="135"/>
      <c r="M1078" s="135"/>
      <c r="N1078" s="135"/>
      <c r="O1078" s="136"/>
      <c r="P1078" s="134"/>
      <c r="Q1078" s="135"/>
      <c r="R1078" s="137"/>
      <c r="S1078" s="1"/>
      <c r="T1078" s="1"/>
      <c r="U1078" s="1"/>
    </row>
    <row r="1079" spans="1:21" ht="9.75" customHeight="1" x14ac:dyDescent="0.4">
      <c r="A1079" s="1"/>
      <c r="B1079" s="1"/>
      <c r="C1079" s="24"/>
      <c r="D1079" s="24" t="s">
        <v>312</v>
      </c>
      <c r="E1079" s="24"/>
      <c r="F1079" s="134"/>
      <c r="G1079" s="135"/>
      <c r="H1079" s="135"/>
      <c r="I1079" s="135"/>
      <c r="J1079" s="135"/>
      <c r="K1079" s="135"/>
      <c r="L1079" s="135"/>
      <c r="M1079" s="135"/>
      <c r="N1079" s="135"/>
      <c r="O1079" s="136"/>
      <c r="P1079" s="134"/>
      <c r="Q1079" s="135"/>
      <c r="R1079" s="137"/>
      <c r="S1079" s="1"/>
      <c r="T1079" s="1"/>
      <c r="U1079" s="1"/>
    </row>
    <row r="1080" spans="1:21" ht="9.75" customHeight="1" x14ac:dyDescent="0.4">
      <c r="A1080" s="1"/>
      <c r="B1080" s="1"/>
      <c r="C1080" s="24"/>
      <c r="D1080" s="24" t="s">
        <v>313</v>
      </c>
      <c r="E1080" s="24"/>
      <c r="F1080" s="134"/>
      <c r="G1080" s="135"/>
      <c r="H1080" s="135"/>
      <c r="I1080" s="135"/>
      <c r="J1080" s="135"/>
      <c r="K1080" s="135"/>
      <c r="L1080" s="135"/>
      <c r="M1080" s="135"/>
      <c r="N1080" s="135"/>
      <c r="O1080" s="136"/>
      <c r="P1080" s="134"/>
      <c r="Q1080" s="135"/>
      <c r="R1080" s="137"/>
      <c r="S1080" s="1"/>
      <c r="T1080" s="1"/>
      <c r="U1080" s="1"/>
    </row>
    <row r="1081" spans="1:21" ht="9.75" customHeight="1" x14ac:dyDescent="0.4">
      <c r="A1081" s="1"/>
      <c r="B1081" s="1"/>
      <c r="C1081" s="229"/>
      <c r="D1081" s="141" t="s">
        <v>314</v>
      </c>
      <c r="E1081" s="141"/>
      <c r="F1081" s="142"/>
      <c r="G1081" s="143"/>
      <c r="H1081" s="143"/>
      <c r="I1081" s="143"/>
      <c r="J1081" s="143"/>
      <c r="K1081" s="143"/>
      <c r="L1081" s="143"/>
      <c r="M1081" s="143"/>
      <c r="N1081" s="143"/>
      <c r="O1081" s="144"/>
      <c r="P1081" s="142"/>
      <c r="Q1081" s="143"/>
      <c r="R1081" s="145"/>
      <c r="S1081" s="1"/>
      <c r="T1081" s="1"/>
      <c r="U1081" s="1"/>
    </row>
    <row r="1082" spans="1:21" ht="9.75" customHeight="1" x14ac:dyDescent="0.4">
      <c r="A1082" s="1"/>
      <c r="B1082" s="1"/>
      <c r="C1082" s="19" t="s">
        <v>442</v>
      </c>
      <c r="D1082" s="19" t="s">
        <v>300</v>
      </c>
      <c r="E1082" s="19"/>
      <c r="F1082" s="133"/>
      <c r="G1082" s="222"/>
      <c r="H1082" s="222"/>
      <c r="I1082" s="222"/>
      <c r="J1082" s="222"/>
      <c r="K1082" s="222"/>
      <c r="L1082" s="222"/>
      <c r="M1082" s="222"/>
      <c r="N1082" s="222"/>
      <c r="O1082" s="223"/>
      <c r="P1082" s="133"/>
      <c r="Q1082" s="222"/>
      <c r="R1082" s="224"/>
      <c r="S1082" s="1"/>
      <c r="T1082" s="1"/>
      <c r="U1082" s="1"/>
    </row>
    <row r="1083" spans="1:21" ht="9.75" customHeight="1" x14ac:dyDescent="0.4">
      <c r="A1083" s="1"/>
      <c r="B1083" s="1"/>
      <c r="C1083" s="24" t="s">
        <v>330</v>
      </c>
      <c r="D1083" s="24" t="s">
        <v>301</v>
      </c>
      <c r="E1083" s="24"/>
      <c r="F1083" s="134"/>
      <c r="G1083" s="135"/>
      <c r="H1083" s="135"/>
      <c r="I1083" s="135"/>
      <c r="J1083" s="135"/>
      <c r="K1083" s="135"/>
      <c r="L1083" s="135"/>
      <c r="M1083" s="135"/>
      <c r="N1083" s="135"/>
      <c r="O1083" s="136"/>
      <c r="P1083" s="134"/>
      <c r="Q1083" s="135"/>
      <c r="R1083" s="137"/>
      <c r="S1083" s="1"/>
      <c r="T1083" s="1"/>
      <c r="U1083" s="1"/>
    </row>
    <row r="1084" spans="1:21" ht="9.75" customHeight="1" x14ac:dyDescent="0.4">
      <c r="A1084" s="1"/>
      <c r="B1084" s="1"/>
      <c r="C1084" s="24" t="s">
        <v>441</v>
      </c>
      <c r="D1084" s="24" t="s">
        <v>303</v>
      </c>
      <c r="E1084" s="24"/>
      <c r="F1084" s="134"/>
      <c r="G1084" s="135"/>
      <c r="H1084" s="135"/>
      <c r="I1084" s="135"/>
      <c r="J1084" s="135"/>
      <c r="K1084" s="135"/>
      <c r="L1084" s="135"/>
      <c r="M1084" s="135"/>
      <c r="N1084" s="135"/>
      <c r="O1084" s="136"/>
      <c r="P1084" s="134"/>
      <c r="Q1084" s="135"/>
      <c r="R1084" s="137"/>
      <c r="S1084" s="1"/>
      <c r="T1084" s="1"/>
      <c r="U1084" s="1"/>
    </row>
    <row r="1085" spans="1:21" ht="9.75" customHeight="1" x14ac:dyDescent="0.4">
      <c r="A1085" s="1"/>
      <c r="B1085" s="1"/>
      <c r="C1085" s="24" t="s">
        <v>332</v>
      </c>
      <c r="D1085" s="24" t="s">
        <v>369</v>
      </c>
      <c r="E1085" s="24"/>
      <c r="F1085" s="134"/>
      <c r="G1085" s="135"/>
      <c r="H1085" s="135"/>
      <c r="I1085" s="135"/>
      <c r="J1085" s="135"/>
      <c r="K1085" s="135"/>
      <c r="L1085" s="135"/>
      <c r="M1085" s="135"/>
      <c r="N1085" s="135"/>
      <c r="O1085" s="136"/>
      <c r="P1085" s="134"/>
      <c r="Q1085" s="135"/>
      <c r="R1085" s="137"/>
      <c r="S1085" s="1"/>
      <c r="T1085" s="1"/>
      <c r="U1085" s="1"/>
    </row>
    <row r="1086" spans="1:21" ht="9.75" customHeight="1" x14ac:dyDescent="0.4">
      <c r="A1086" s="1"/>
      <c r="B1086" s="1"/>
      <c r="C1086" s="24"/>
      <c r="D1086" s="24" t="s">
        <v>369</v>
      </c>
      <c r="E1086" s="24"/>
      <c r="F1086" s="134"/>
      <c r="G1086" s="135"/>
      <c r="H1086" s="135"/>
      <c r="I1086" s="135"/>
      <c r="J1086" s="135"/>
      <c r="K1086" s="135"/>
      <c r="L1086" s="135"/>
      <c r="M1086" s="135"/>
      <c r="N1086" s="135"/>
      <c r="O1086" s="136"/>
      <c r="P1086" s="134"/>
      <c r="Q1086" s="135"/>
      <c r="R1086" s="137"/>
      <c r="S1086" s="1"/>
      <c r="T1086" s="1"/>
      <c r="U1086" s="1"/>
    </row>
    <row r="1087" spans="1:21" ht="9.75" customHeight="1" x14ac:dyDescent="0.4">
      <c r="A1087" s="1"/>
      <c r="B1087" s="1"/>
      <c r="C1087" s="24"/>
      <c r="D1087" s="24" t="s">
        <v>308</v>
      </c>
      <c r="E1087" s="24"/>
      <c r="F1087" s="134"/>
      <c r="G1087" s="135"/>
      <c r="H1087" s="135"/>
      <c r="I1087" s="135"/>
      <c r="J1087" s="135"/>
      <c r="K1087" s="135"/>
      <c r="L1087" s="135"/>
      <c r="M1087" s="135"/>
      <c r="N1087" s="135"/>
      <c r="O1087" s="136"/>
      <c r="P1087" s="134"/>
      <c r="Q1087" s="135"/>
      <c r="R1087" s="137"/>
      <c r="S1087" s="1"/>
      <c r="T1087" s="1"/>
      <c r="U1087" s="1"/>
    </row>
    <row r="1088" spans="1:21" ht="9.75" customHeight="1" x14ac:dyDescent="0.4">
      <c r="A1088" s="1"/>
      <c r="B1088" s="1"/>
      <c r="C1088" s="24"/>
      <c r="D1088" s="24" t="s">
        <v>374</v>
      </c>
      <c r="E1088" s="24"/>
      <c r="F1088" s="134"/>
      <c r="G1088" s="135"/>
      <c r="H1088" s="135"/>
      <c r="I1088" s="135"/>
      <c r="J1088" s="135"/>
      <c r="K1088" s="135"/>
      <c r="L1088" s="135"/>
      <c r="M1088" s="135"/>
      <c r="N1088" s="135"/>
      <c r="O1088" s="136"/>
      <c r="P1088" s="134"/>
      <c r="Q1088" s="135"/>
      <c r="R1088" s="137"/>
      <c r="S1088" s="1"/>
      <c r="T1088" s="1"/>
      <c r="U1088" s="1"/>
    </row>
    <row r="1089" spans="1:21" ht="9.75" customHeight="1" x14ac:dyDescent="0.4">
      <c r="A1089" s="1"/>
      <c r="B1089" s="1"/>
      <c r="C1089" s="24"/>
      <c r="D1089" s="24" t="s">
        <v>374</v>
      </c>
      <c r="E1089" s="24"/>
      <c r="F1089" s="134"/>
      <c r="G1089" s="135"/>
      <c r="H1089" s="135"/>
      <c r="I1089" s="135"/>
      <c r="J1089" s="135"/>
      <c r="K1089" s="135"/>
      <c r="L1089" s="135"/>
      <c r="M1089" s="135"/>
      <c r="N1089" s="135"/>
      <c r="O1089" s="136"/>
      <c r="P1089" s="134"/>
      <c r="Q1089" s="135"/>
      <c r="R1089" s="137"/>
      <c r="S1089" s="1"/>
      <c r="T1089" s="1"/>
      <c r="U1089" s="1"/>
    </row>
    <row r="1090" spans="1:21" ht="9.75" customHeight="1" x14ac:dyDescent="0.4">
      <c r="A1090" s="1"/>
      <c r="B1090" s="1"/>
      <c r="C1090" s="24"/>
      <c r="D1090" s="24" t="s">
        <v>374</v>
      </c>
      <c r="E1090" s="24"/>
      <c r="F1090" s="134"/>
      <c r="G1090" s="135"/>
      <c r="H1090" s="135"/>
      <c r="I1090" s="135"/>
      <c r="J1090" s="135"/>
      <c r="K1090" s="135"/>
      <c r="L1090" s="135"/>
      <c r="M1090" s="135"/>
      <c r="N1090" s="135"/>
      <c r="O1090" s="136"/>
      <c r="P1090" s="134"/>
      <c r="Q1090" s="135"/>
      <c r="R1090" s="137"/>
      <c r="S1090" s="1"/>
      <c r="T1090" s="1"/>
      <c r="U1090" s="1"/>
    </row>
    <row r="1091" spans="1:21" ht="9.75" customHeight="1" x14ac:dyDescent="0.4">
      <c r="A1091" s="1"/>
      <c r="B1091" s="1"/>
      <c r="C1091" s="24"/>
      <c r="D1091" s="24" t="s">
        <v>374</v>
      </c>
      <c r="E1091" s="24"/>
      <c r="F1091" s="134"/>
      <c r="G1091" s="135"/>
      <c r="H1091" s="135"/>
      <c r="I1091" s="135"/>
      <c r="J1091" s="135"/>
      <c r="K1091" s="135"/>
      <c r="L1091" s="135"/>
      <c r="M1091" s="135"/>
      <c r="N1091" s="135"/>
      <c r="O1091" s="136"/>
      <c r="P1091" s="134"/>
      <c r="Q1091" s="135"/>
      <c r="R1091" s="137"/>
      <c r="S1091" s="1"/>
      <c r="T1091" s="1"/>
      <c r="U1091" s="1"/>
    </row>
    <row r="1092" spans="1:21" ht="9.75" customHeight="1" x14ac:dyDescent="0.4">
      <c r="A1092" s="1"/>
      <c r="B1092" s="1"/>
      <c r="C1092" s="24"/>
      <c r="D1092" s="24" t="s">
        <v>374</v>
      </c>
      <c r="E1092" s="24"/>
      <c r="F1092" s="134"/>
      <c r="G1092" s="135"/>
      <c r="H1092" s="135"/>
      <c r="I1092" s="135"/>
      <c r="J1092" s="135"/>
      <c r="K1092" s="135"/>
      <c r="L1092" s="135"/>
      <c r="M1092" s="135"/>
      <c r="N1092" s="135"/>
      <c r="O1092" s="136"/>
      <c r="P1092" s="134"/>
      <c r="Q1092" s="135"/>
      <c r="R1092" s="137"/>
      <c r="S1092" s="1"/>
      <c r="T1092" s="1"/>
      <c r="U1092" s="1"/>
    </row>
    <row r="1093" spans="1:21" ht="9.75" customHeight="1" x14ac:dyDescent="0.4">
      <c r="A1093" s="1"/>
      <c r="B1093" s="1"/>
      <c r="C1093" s="24"/>
      <c r="D1093" s="24" t="s">
        <v>374</v>
      </c>
      <c r="E1093" s="24"/>
      <c r="F1093" s="134"/>
      <c r="G1093" s="135"/>
      <c r="H1093" s="135"/>
      <c r="I1093" s="135"/>
      <c r="J1093" s="135"/>
      <c r="K1093" s="135"/>
      <c r="L1093" s="135"/>
      <c r="M1093" s="135"/>
      <c r="N1093" s="135"/>
      <c r="O1093" s="136"/>
      <c r="P1093" s="134"/>
      <c r="Q1093" s="135"/>
      <c r="R1093" s="137"/>
      <c r="S1093" s="1"/>
      <c r="T1093" s="1"/>
      <c r="U1093" s="1"/>
    </row>
    <row r="1094" spans="1:21" ht="9.75" customHeight="1" x14ac:dyDescent="0.4">
      <c r="A1094" s="1"/>
      <c r="B1094" s="1"/>
      <c r="C1094" s="24"/>
      <c r="D1094" s="24" t="s">
        <v>310</v>
      </c>
      <c r="E1094" s="24"/>
      <c r="F1094" s="134"/>
      <c r="G1094" s="135"/>
      <c r="H1094" s="135"/>
      <c r="I1094" s="135"/>
      <c r="J1094" s="135"/>
      <c r="K1094" s="135"/>
      <c r="L1094" s="135"/>
      <c r="M1094" s="135"/>
      <c r="N1094" s="135"/>
      <c r="O1094" s="136"/>
      <c r="P1094" s="134"/>
      <c r="Q1094" s="135"/>
      <c r="R1094" s="137"/>
      <c r="S1094" s="1"/>
      <c r="T1094" s="1"/>
      <c r="U1094" s="1"/>
    </row>
    <row r="1095" spans="1:21" ht="9.75" customHeight="1" x14ac:dyDescent="0.4">
      <c r="A1095" s="1"/>
      <c r="B1095" s="1"/>
      <c r="C1095" s="24"/>
      <c r="D1095" s="24" t="s">
        <v>311</v>
      </c>
      <c r="E1095" s="24"/>
      <c r="F1095" s="134"/>
      <c r="G1095" s="135"/>
      <c r="H1095" s="135"/>
      <c r="I1095" s="135"/>
      <c r="J1095" s="135"/>
      <c r="K1095" s="135"/>
      <c r="L1095" s="135"/>
      <c r="M1095" s="135"/>
      <c r="N1095" s="135"/>
      <c r="O1095" s="136"/>
      <c r="P1095" s="134"/>
      <c r="Q1095" s="135"/>
      <c r="R1095" s="137"/>
      <c r="S1095" s="1"/>
      <c r="T1095" s="1"/>
      <c r="U1095" s="1"/>
    </row>
    <row r="1096" spans="1:21" ht="9.75" customHeight="1" x14ac:dyDescent="0.4">
      <c r="A1096" s="1"/>
      <c r="B1096" s="1"/>
      <c r="C1096" s="24"/>
      <c r="D1096" s="24" t="s">
        <v>312</v>
      </c>
      <c r="E1096" s="24"/>
      <c r="F1096" s="134"/>
      <c r="G1096" s="135"/>
      <c r="H1096" s="135"/>
      <c r="I1096" s="135"/>
      <c r="J1096" s="135"/>
      <c r="K1096" s="135"/>
      <c r="L1096" s="135"/>
      <c r="M1096" s="135"/>
      <c r="N1096" s="135"/>
      <c r="O1096" s="136"/>
      <c r="P1096" s="134"/>
      <c r="Q1096" s="135"/>
      <c r="R1096" s="137"/>
      <c r="S1096" s="1"/>
      <c r="T1096" s="1"/>
      <c r="U1096" s="1"/>
    </row>
    <row r="1097" spans="1:21" ht="9.75" customHeight="1" x14ac:dyDescent="0.4">
      <c r="A1097" s="1"/>
      <c r="B1097" s="1"/>
      <c r="C1097" s="24"/>
      <c r="D1097" s="24" t="s">
        <v>313</v>
      </c>
      <c r="E1097" s="24"/>
      <c r="F1097" s="134"/>
      <c r="G1097" s="135"/>
      <c r="H1097" s="135"/>
      <c r="I1097" s="135"/>
      <c r="J1097" s="135"/>
      <c r="K1097" s="135"/>
      <c r="L1097" s="135"/>
      <c r="M1097" s="135"/>
      <c r="N1097" s="135"/>
      <c r="O1097" s="136"/>
      <c r="P1097" s="134"/>
      <c r="Q1097" s="135"/>
      <c r="R1097" s="137"/>
      <c r="S1097" s="1"/>
      <c r="T1097" s="1"/>
      <c r="U1097" s="1"/>
    </row>
    <row r="1098" spans="1:21" ht="9.75" customHeight="1" x14ac:dyDescent="0.4">
      <c r="A1098" s="1"/>
      <c r="B1098" s="1"/>
      <c r="C1098" s="229"/>
      <c r="D1098" s="141" t="s">
        <v>314</v>
      </c>
      <c r="E1098" s="141"/>
      <c r="F1098" s="142"/>
      <c r="G1098" s="143"/>
      <c r="H1098" s="143"/>
      <c r="I1098" s="143"/>
      <c r="J1098" s="143"/>
      <c r="K1098" s="143"/>
      <c r="L1098" s="143"/>
      <c r="M1098" s="143"/>
      <c r="N1098" s="143"/>
      <c r="O1098" s="144"/>
      <c r="P1098" s="142"/>
      <c r="Q1098" s="143"/>
      <c r="R1098" s="145"/>
      <c r="S1098" s="1"/>
      <c r="T1098" s="1"/>
      <c r="U1098" s="1"/>
    </row>
    <row r="1099" spans="1:21" ht="9.75" customHeight="1" x14ac:dyDescent="0.4">
      <c r="A1099" s="1"/>
      <c r="B1099" s="1"/>
      <c r="C1099" s="19" t="s">
        <v>60</v>
      </c>
      <c r="D1099" s="244" t="s">
        <v>300</v>
      </c>
      <c r="E1099" s="244"/>
      <c r="F1099" s="245"/>
      <c r="G1099" s="246"/>
      <c r="H1099" s="246"/>
      <c r="I1099" s="246"/>
      <c r="J1099" s="246"/>
      <c r="K1099" s="246"/>
      <c r="L1099" s="246"/>
      <c r="M1099" s="246"/>
      <c r="N1099" s="246"/>
      <c r="O1099" s="247"/>
      <c r="P1099" s="245"/>
      <c r="Q1099" s="246"/>
      <c r="R1099" s="248"/>
      <c r="S1099" s="1"/>
      <c r="T1099" s="1"/>
      <c r="U1099" s="1"/>
    </row>
    <row r="1100" spans="1:21" ht="9.75" customHeight="1" x14ac:dyDescent="0.4">
      <c r="A1100" s="1"/>
      <c r="B1100" s="1"/>
      <c r="C1100" s="24"/>
      <c r="D1100" s="249" t="s">
        <v>301</v>
      </c>
      <c r="E1100" s="249"/>
      <c r="F1100" s="250"/>
      <c r="G1100" s="251"/>
      <c r="H1100" s="251"/>
      <c r="I1100" s="251"/>
      <c r="J1100" s="251"/>
      <c r="K1100" s="251"/>
      <c r="L1100" s="251"/>
      <c r="M1100" s="251"/>
      <c r="N1100" s="251"/>
      <c r="O1100" s="252"/>
      <c r="P1100" s="250"/>
      <c r="Q1100" s="251"/>
      <c r="R1100" s="253"/>
      <c r="S1100" s="1"/>
      <c r="T1100" s="1"/>
      <c r="U1100" s="1"/>
    </row>
    <row r="1101" spans="1:21" ht="9.75" customHeight="1" x14ac:dyDescent="0.4">
      <c r="A1101" s="1"/>
      <c r="B1101" s="1"/>
      <c r="C1101" s="24"/>
      <c r="D1101" s="249" t="s">
        <v>303</v>
      </c>
      <c r="E1101" s="249"/>
      <c r="F1101" s="250"/>
      <c r="G1101" s="251"/>
      <c r="H1101" s="251"/>
      <c r="I1101" s="251"/>
      <c r="J1101" s="251"/>
      <c r="K1101" s="251"/>
      <c r="L1101" s="251"/>
      <c r="M1101" s="251"/>
      <c r="N1101" s="251"/>
      <c r="O1101" s="252"/>
      <c r="P1101" s="250"/>
      <c r="Q1101" s="251"/>
      <c r="R1101" s="253"/>
      <c r="S1101" s="1"/>
      <c r="T1101" s="1"/>
      <c r="U1101" s="1"/>
    </row>
    <row r="1102" spans="1:21" ht="9.75" customHeight="1" x14ac:dyDescent="0.4">
      <c r="A1102" s="1"/>
      <c r="B1102" s="1"/>
      <c r="C1102" s="24"/>
      <c r="D1102" s="249" t="s">
        <v>369</v>
      </c>
      <c r="E1102" s="249"/>
      <c r="F1102" s="250"/>
      <c r="G1102" s="251"/>
      <c r="H1102" s="251"/>
      <c r="I1102" s="251"/>
      <c r="J1102" s="251"/>
      <c r="K1102" s="251"/>
      <c r="L1102" s="251"/>
      <c r="M1102" s="251"/>
      <c r="N1102" s="251"/>
      <c r="O1102" s="252"/>
      <c r="P1102" s="250"/>
      <c r="Q1102" s="251"/>
      <c r="R1102" s="253"/>
      <c r="S1102" s="1"/>
      <c r="T1102" s="1"/>
      <c r="U1102" s="1"/>
    </row>
    <row r="1103" spans="1:21" ht="9.75" customHeight="1" x14ac:dyDescent="0.4">
      <c r="A1103" s="1"/>
      <c r="B1103" s="1"/>
      <c r="C1103" s="249"/>
      <c r="D1103" s="249" t="s">
        <v>369</v>
      </c>
      <c r="E1103" s="249"/>
      <c r="F1103" s="250"/>
      <c r="G1103" s="251"/>
      <c r="H1103" s="251"/>
      <c r="I1103" s="251"/>
      <c r="J1103" s="251"/>
      <c r="K1103" s="251"/>
      <c r="L1103" s="251"/>
      <c r="M1103" s="251"/>
      <c r="N1103" s="251"/>
      <c r="O1103" s="252"/>
      <c r="P1103" s="250"/>
      <c r="Q1103" s="251"/>
      <c r="R1103" s="253"/>
      <c r="S1103" s="1"/>
      <c r="T1103" s="1"/>
      <c r="U1103" s="1"/>
    </row>
    <row r="1104" spans="1:21" ht="9.75" customHeight="1" x14ac:dyDescent="0.4">
      <c r="A1104" s="1"/>
      <c r="B1104" s="1"/>
      <c r="C1104" s="249"/>
      <c r="D1104" s="249" t="s">
        <v>308</v>
      </c>
      <c r="E1104" s="249"/>
      <c r="F1104" s="250"/>
      <c r="G1104" s="251"/>
      <c r="H1104" s="251"/>
      <c r="I1104" s="251"/>
      <c r="J1104" s="251"/>
      <c r="K1104" s="251"/>
      <c r="L1104" s="251"/>
      <c r="M1104" s="251"/>
      <c r="N1104" s="251"/>
      <c r="O1104" s="252"/>
      <c r="P1104" s="250"/>
      <c r="Q1104" s="251"/>
      <c r="R1104" s="253"/>
      <c r="S1104" s="1"/>
      <c r="T1104" s="1"/>
      <c r="U1104" s="1"/>
    </row>
    <row r="1105" spans="1:21" ht="9.75" customHeight="1" x14ac:dyDescent="0.4">
      <c r="A1105" s="1"/>
      <c r="B1105" s="1"/>
      <c r="C1105" s="249"/>
      <c r="D1105" s="249" t="s">
        <v>374</v>
      </c>
      <c r="E1105" s="249"/>
      <c r="F1105" s="250"/>
      <c r="G1105" s="251"/>
      <c r="H1105" s="251"/>
      <c r="I1105" s="251"/>
      <c r="J1105" s="251"/>
      <c r="K1105" s="251"/>
      <c r="L1105" s="251"/>
      <c r="M1105" s="251"/>
      <c r="N1105" s="251"/>
      <c r="O1105" s="252"/>
      <c r="P1105" s="250"/>
      <c r="Q1105" s="251"/>
      <c r="R1105" s="253"/>
      <c r="S1105" s="1"/>
      <c r="T1105" s="1"/>
      <c r="U1105" s="1"/>
    </row>
    <row r="1106" spans="1:21" ht="9.75" customHeight="1" x14ac:dyDescent="0.4">
      <c r="A1106" s="1"/>
      <c r="B1106" s="1"/>
      <c r="C1106" s="249"/>
      <c r="D1106" s="249" t="s">
        <v>374</v>
      </c>
      <c r="E1106" s="249"/>
      <c r="F1106" s="250"/>
      <c r="G1106" s="251"/>
      <c r="H1106" s="251"/>
      <c r="I1106" s="251"/>
      <c r="J1106" s="251"/>
      <c r="K1106" s="251"/>
      <c r="L1106" s="251"/>
      <c r="M1106" s="251"/>
      <c r="N1106" s="251"/>
      <c r="O1106" s="252"/>
      <c r="P1106" s="250"/>
      <c r="Q1106" s="251"/>
      <c r="R1106" s="253"/>
      <c r="S1106" s="1"/>
      <c r="T1106" s="1"/>
      <c r="U1106" s="1"/>
    </row>
    <row r="1107" spans="1:21" ht="9.75" customHeight="1" x14ac:dyDescent="0.4">
      <c r="A1107" s="1"/>
      <c r="B1107" s="1"/>
      <c r="C1107" s="249"/>
      <c r="D1107" s="249" t="s">
        <v>374</v>
      </c>
      <c r="E1107" s="249"/>
      <c r="F1107" s="250"/>
      <c r="G1107" s="251"/>
      <c r="H1107" s="251"/>
      <c r="I1107" s="251"/>
      <c r="J1107" s="251"/>
      <c r="K1107" s="251"/>
      <c r="L1107" s="251"/>
      <c r="M1107" s="251"/>
      <c r="N1107" s="251"/>
      <c r="O1107" s="252"/>
      <c r="P1107" s="250"/>
      <c r="Q1107" s="251"/>
      <c r="R1107" s="253"/>
      <c r="S1107" s="1"/>
      <c r="T1107" s="1"/>
      <c r="U1107" s="1"/>
    </row>
    <row r="1108" spans="1:21" ht="9.75" customHeight="1" x14ac:dyDescent="0.4">
      <c r="A1108" s="1"/>
      <c r="B1108" s="1"/>
      <c r="C1108" s="249"/>
      <c r="D1108" s="249" t="s">
        <v>374</v>
      </c>
      <c r="E1108" s="249"/>
      <c r="F1108" s="250"/>
      <c r="G1108" s="251"/>
      <c r="H1108" s="251"/>
      <c r="I1108" s="251"/>
      <c r="J1108" s="251"/>
      <c r="K1108" s="251"/>
      <c r="L1108" s="251"/>
      <c r="M1108" s="251"/>
      <c r="N1108" s="251"/>
      <c r="O1108" s="252"/>
      <c r="P1108" s="250"/>
      <c r="Q1108" s="251"/>
      <c r="R1108" s="253"/>
      <c r="S1108" s="1"/>
      <c r="T1108" s="1"/>
      <c r="U1108" s="1"/>
    </row>
    <row r="1109" spans="1:21" ht="9.75" customHeight="1" x14ac:dyDescent="0.4">
      <c r="A1109" s="1"/>
      <c r="B1109" s="1"/>
      <c r="C1109" s="249"/>
      <c r="D1109" s="249" t="s">
        <v>374</v>
      </c>
      <c r="E1109" s="249"/>
      <c r="F1109" s="250"/>
      <c r="G1109" s="251"/>
      <c r="H1109" s="251"/>
      <c r="I1109" s="251"/>
      <c r="J1109" s="251"/>
      <c r="K1109" s="251"/>
      <c r="L1109" s="251"/>
      <c r="M1109" s="251"/>
      <c r="N1109" s="251"/>
      <c r="O1109" s="252"/>
      <c r="P1109" s="250"/>
      <c r="Q1109" s="251"/>
      <c r="R1109" s="253"/>
      <c r="S1109" s="1"/>
      <c r="T1109" s="1"/>
      <c r="U1109" s="1"/>
    </row>
    <row r="1110" spans="1:21" ht="9.75" customHeight="1" x14ac:dyDescent="0.4">
      <c r="A1110" s="1"/>
      <c r="B1110" s="1"/>
      <c r="C1110" s="249"/>
      <c r="D1110" s="249" t="s">
        <v>374</v>
      </c>
      <c r="E1110" s="249"/>
      <c r="F1110" s="250"/>
      <c r="G1110" s="251"/>
      <c r="H1110" s="251"/>
      <c r="I1110" s="251"/>
      <c r="J1110" s="251"/>
      <c r="K1110" s="251"/>
      <c r="L1110" s="251"/>
      <c r="M1110" s="251"/>
      <c r="N1110" s="251"/>
      <c r="O1110" s="252"/>
      <c r="P1110" s="250"/>
      <c r="Q1110" s="251"/>
      <c r="R1110" s="253"/>
      <c r="S1110" s="1"/>
      <c r="T1110" s="1"/>
      <c r="U1110" s="1"/>
    </row>
    <row r="1111" spans="1:21" ht="9.75" customHeight="1" x14ac:dyDescent="0.4">
      <c r="A1111" s="1"/>
      <c r="B1111" s="1"/>
      <c r="C1111" s="249"/>
      <c r="D1111" s="249" t="s">
        <v>310</v>
      </c>
      <c r="E1111" s="249"/>
      <c r="F1111" s="250"/>
      <c r="G1111" s="251"/>
      <c r="H1111" s="251"/>
      <c r="I1111" s="251"/>
      <c r="J1111" s="251"/>
      <c r="K1111" s="251"/>
      <c r="L1111" s="251"/>
      <c r="M1111" s="251"/>
      <c r="N1111" s="251"/>
      <c r="O1111" s="252"/>
      <c r="P1111" s="250"/>
      <c r="Q1111" s="251"/>
      <c r="R1111" s="253"/>
      <c r="S1111" s="1"/>
      <c r="T1111" s="1"/>
      <c r="U1111" s="1"/>
    </row>
    <row r="1112" spans="1:21" ht="9.75" customHeight="1" x14ac:dyDescent="0.4">
      <c r="A1112" s="1"/>
      <c r="B1112" s="1"/>
      <c r="C1112" s="249"/>
      <c r="D1112" s="249" t="s">
        <v>311</v>
      </c>
      <c r="E1112" s="249"/>
      <c r="F1112" s="250"/>
      <c r="G1112" s="251"/>
      <c r="H1112" s="251"/>
      <c r="I1112" s="251"/>
      <c r="J1112" s="251"/>
      <c r="K1112" s="251"/>
      <c r="L1112" s="251"/>
      <c r="M1112" s="251"/>
      <c r="N1112" s="251"/>
      <c r="O1112" s="252"/>
      <c r="P1112" s="250"/>
      <c r="Q1112" s="251"/>
      <c r="R1112" s="253"/>
      <c r="S1112" s="1"/>
      <c r="T1112" s="1"/>
      <c r="U1112" s="1"/>
    </row>
    <row r="1113" spans="1:21" ht="9.75" customHeight="1" x14ac:dyDescent="0.4">
      <c r="A1113" s="1"/>
      <c r="B1113" s="1"/>
      <c r="C1113" s="249"/>
      <c r="D1113" s="249" t="s">
        <v>312</v>
      </c>
      <c r="E1113" s="249"/>
      <c r="F1113" s="250"/>
      <c r="G1113" s="251"/>
      <c r="H1113" s="251"/>
      <c r="I1113" s="251"/>
      <c r="J1113" s="251"/>
      <c r="K1113" s="251"/>
      <c r="L1113" s="251"/>
      <c r="M1113" s="251"/>
      <c r="N1113" s="251"/>
      <c r="O1113" s="252"/>
      <c r="P1113" s="250"/>
      <c r="Q1113" s="251"/>
      <c r="R1113" s="253"/>
      <c r="S1113" s="1"/>
      <c r="T1113" s="1"/>
      <c r="U1113" s="1"/>
    </row>
    <row r="1114" spans="1:21" ht="9.75" customHeight="1" x14ac:dyDescent="0.4">
      <c r="A1114" s="1"/>
      <c r="B1114" s="1"/>
      <c r="C1114" s="249"/>
      <c r="D1114" s="249" t="s">
        <v>313</v>
      </c>
      <c r="E1114" s="249"/>
      <c r="F1114" s="250"/>
      <c r="G1114" s="251"/>
      <c r="H1114" s="251"/>
      <c r="I1114" s="251"/>
      <c r="J1114" s="251"/>
      <c r="K1114" s="251"/>
      <c r="L1114" s="251"/>
      <c r="M1114" s="251"/>
      <c r="N1114" s="251"/>
      <c r="O1114" s="252"/>
      <c r="P1114" s="250"/>
      <c r="Q1114" s="251"/>
      <c r="R1114" s="253"/>
      <c r="S1114" s="1"/>
      <c r="T1114" s="1"/>
      <c r="U1114" s="1"/>
    </row>
    <row r="1115" spans="1:21" ht="9.75" customHeight="1" x14ac:dyDescent="0.4">
      <c r="A1115" s="1"/>
      <c r="B1115" s="1" t="s">
        <v>395</v>
      </c>
      <c r="C1115" s="256"/>
      <c r="D1115" s="141" t="s">
        <v>314</v>
      </c>
      <c r="E1115" s="141"/>
      <c r="F1115" s="142"/>
      <c r="G1115" s="143"/>
      <c r="H1115" s="143"/>
      <c r="I1115" s="143"/>
      <c r="J1115" s="143"/>
      <c r="K1115" s="143"/>
      <c r="L1115" s="143"/>
      <c r="M1115" s="143"/>
      <c r="N1115" s="143"/>
      <c r="O1115" s="144"/>
      <c r="P1115" s="142"/>
      <c r="Q1115" s="143"/>
      <c r="R1115" s="145"/>
      <c r="S1115" s="1"/>
      <c r="T1115" s="1"/>
      <c r="U1115" s="1"/>
    </row>
    <row r="1116" spans="1:21" ht="9.75" customHeight="1" x14ac:dyDescent="0.4">
      <c r="A1116" s="1"/>
      <c r="B1116" s="1"/>
      <c r="C1116" s="15" t="s">
        <v>443</v>
      </c>
      <c r="D1116" s="15" t="s">
        <v>300</v>
      </c>
      <c r="E1116" s="15"/>
      <c r="F1116" s="73"/>
      <c r="G1116" s="108"/>
      <c r="H1116" s="108"/>
      <c r="I1116" s="108"/>
      <c r="J1116" s="108"/>
      <c r="K1116" s="108"/>
      <c r="L1116" s="108"/>
      <c r="M1116" s="108"/>
      <c r="N1116" s="108"/>
      <c r="O1116" s="109"/>
      <c r="P1116" s="73"/>
      <c r="Q1116" s="108"/>
      <c r="R1116" s="188"/>
      <c r="S1116" s="1"/>
      <c r="T1116" s="1"/>
      <c r="U1116" s="1"/>
    </row>
    <row r="1117" spans="1:21" ht="9.75" customHeight="1" x14ac:dyDescent="0.4">
      <c r="A1117" s="1"/>
      <c r="B1117" s="1"/>
      <c r="C1117" s="17"/>
      <c r="D1117" s="17" t="s">
        <v>301</v>
      </c>
      <c r="E1117" s="17">
        <v>91</v>
      </c>
      <c r="F1117" s="32">
        <v>0</v>
      </c>
      <c r="G1117" s="6">
        <v>0</v>
      </c>
      <c r="H1117" s="6">
        <v>1</v>
      </c>
      <c r="I1117" s="6">
        <v>2</v>
      </c>
      <c r="J1117" s="6">
        <v>1</v>
      </c>
      <c r="K1117" s="6">
        <v>0</v>
      </c>
      <c r="L1117" s="6">
        <v>2</v>
      </c>
      <c r="M1117" s="6">
        <v>12</v>
      </c>
      <c r="N1117" s="6">
        <v>17</v>
      </c>
      <c r="O1117" s="31">
        <v>19</v>
      </c>
      <c r="P1117" s="32">
        <f>MIN(F1117:O1117)</f>
        <v>0</v>
      </c>
      <c r="Q1117" s="6">
        <f>E1117-P1117</f>
        <v>91</v>
      </c>
      <c r="R1117" s="59">
        <f>Q1117/E1117</f>
        <v>1</v>
      </c>
      <c r="S1117" s="1"/>
      <c r="T1117" s="1"/>
      <c r="U1117" s="1"/>
    </row>
    <row r="1118" spans="1:21" ht="9.75" customHeight="1" x14ac:dyDescent="0.4">
      <c r="A1118" s="1"/>
      <c r="B1118" s="1"/>
      <c r="C1118" s="17"/>
      <c r="D1118" s="17" t="s">
        <v>303</v>
      </c>
      <c r="E1118" s="17"/>
      <c r="F1118" s="32"/>
      <c r="G1118" s="6"/>
      <c r="H1118" s="6"/>
      <c r="I1118" s="6"/>
      <c r="J1118" s="6"/>
      <c r="K1118" s="6"/>
      <c r="L1118" s="6"/>
      <c r="M1118" s="6"/>
      <c r="N1118" s="6"/>
      <c r="O1118" s="31"/>
      <c r="P1118" s="32"/>
      <c r="Q1118" s="6"/>
      <c r="R1118" s="59"/>
      <c r="S1118" s="1"/>
      <c r="T1118" s="1"/>
      <c r="U1118" s="1"/>
    </row>
    <row r="1119" spans="1:21" ht="9.75" customHeight="1" x14ac:dyDescent="0.4">
      <c r="A1119" s="1"/>
      <c r="B1119" s="1"/>
      <c r="C1119" s="17"/>
      <c r="D1119" s="17" t="s">
        <v>369</v>
      </c>
      <c r="E1119" s="17"/>
      <c r="F1119" s="32"/>
      <c r="G1119" s="6"/>
      <c r="H1119" s="6"/>
      <c r="I1119" s="6"/>
      <c r="J1119" s="6"/>
      <c r="K1119" s="6"/>
      <c r="L1119" s="6"/>
      <c r="M1119" s="6"/>
      <c r="N1119" s="6"/>
      <c r="O1119" s="31"/>
      <c r="P1119" s="32"/>
      <c r="Q1119" s="6"/>
      <c r="R1119" s="59"/>
      <c r="S1119" s="1"/>
      <c r="T1119" s="1"/>
      <c r="U1119" s="1"/>
    </row>
    <row r="1120" spans="1:21" ht="9.75" customHeight="1" x14ac:dyDescent="0.4">
      <c r="A1120" s="1"/>
      <c r="B1120" s="1"/>
      <c r="C1120" s="17"/>
      <c r="D1120" s="17" t="s">
        <v>369</v>
      </c>
      <c r="E1120" s="329"/>
      <c r="F1120" s="32"/>
      <c r="G1120" s="6"/>
      <c r="H1120" s="6"/>
      <c r="I1120" s="6"/>
      <c r="J1120" s="6"/>
      <c r="K1120" s="6"/>
      <c r="L1120" s="6"/>
      <c r="M1120" s="6"/>
      <c r="N1120" s="6"/>
      <c r="O1120" s="31"/>
      <c r="P1120" s="32"/>
      <c r="Q1120" s="6"/>
      <c r="R1120" s="59"/>
      <c r="S1120" s="1"/>
      <c r="T1120" s="1"/>
      <c r="U1120" s="1"/>
    </row>
    <row r="1121" spans="1:21" ht="9.75" customHeight="1" x14ac:dyDescent="0.4">
      <c r="A1121" s="1"/>
      <c r="B1121" s="1"/>
      <c r="C1121" s="17"/>
      <c r="D1121" s="17" t="s">
        <v>308</v>
      </c>
      <c r="E1121" s="17">
        <v>2</v>
      </c>
      <c r="F1121" s="32">
        <v>1</v>
      </c>
      <c r="G1121" s="6">
        <v>1</v>
      </c>
      <c r="H1121" s="6">
        <v>2</v>
      </c>
      <c r="I1121" s="6">
        <v>2</v>
      </c>
      <c r="J1121" s="6">
        <v>1</v>
      </c>
      <c r="K1121" s="6">
        <v>1</v>
      </c>
      <c r="L1121" s="6">
        <v>1</v>
      </c>
      <c r="M1121" s="6">
        <v>1</v>
      </c>
      <c r="N1121" s="6">
        <v>1</v>
      </c>
      <c r="O1121" s="31">
        <v>1</v>
      </c>
      <c r="P1121" s="32">
        <f>MIN(F1121:O1121)</f>
        <v>1</v>
      </c>
      <c r="Q1121" s="6">
        <f>E1121-P1121</f>
        <v>1</v>
      </c>
      <c r="R1121" s="59">
        <f>Q1121/E1121</f>
        <v>0.5</v>
      </c>
      <c r="S1121" s="1"/>
      <c r="T1121" s="1"/>
      <c r="U1121" s="1"/>
    </row>
    <row r="1122" spans="1:21" ht="9.75" customHeight="1" x14ac:dyDescent="0.4">
      <c r="A1122" s="1"/>
      <c r="B1122" s="1"/>
      <c r="C1122" s="17"/>
      <c r="D1122" s="17" t="s">
        <v>377</v>
      </c>
      <c r="E1122" s="17"/>
      <c r="F1122" s="32"/>
      <c r="G1122" s="6"/>
      <c r="H1122" s="6"/>
      <c r="I1122" s="6"/>
      <c r="J1122" s="6"/>
      <c r="K1122" s="6"/>
      <c r="L1122" s="6"/>
      <c r="M1122" s="6"/>
      <c r="N1122" s="6"/>
      <c r="O1122" s="31"/>
      <c r="P1122" s="32"/>
      <c r="Q1122" s="6"/>
      <c r="R1122" s="59"/>
      <c r="S1122" s="1"/>
      <c r="T1122" s="1"/>
      <c r="U1122" s="1"/>
    </row>
    <row r="1123" spans="1:21" ht="9.75" customHeight="1" x14ac:dyDescent="0.4">
      <c r="A1123" s="1"/>
      <c r="B1123" s="1"/>
      <c r="C1123" s="17"/>
      <c r="D1123" s="17" t="s">
        <v>374</v>
      </c>
      <c r="E1123" s="17"/>
      <c r="F1123" s="32"/>
      <c r="G1123" s="6"/>
      <c r="H1123" s="6"/>
      <c r="I1123" s="6"/>
      <c r="J1123" s="6"/>
      <c r="K1123" s="6"/>
      <c r="L1123" s="6"/>
      <c r="M1123" s="6"/>
      <c r="N1123" s="6"/>
      <c r="O1123" s="31"/>
      <c r="P1123" s="32"/>
      <c r="Q1123" s="6"/>
      <c r="R1123" s="59"/>
      <c r="S1123" s="1"/>
      <c r="T1123" s="1"/>
      <c r="U1123" s="1"/>
    </row>
    <row r="1124" spans="1:21" ht="9.75" customHeight="1" x14ac:dyDescent="0.4">
      <c r="A1124" s="1"/>
      <c r="B1124" s="1"/>
      <c r="C1124" s="17"/>
      <c r="D1124" s="17" t="s">
        <v>374</v>
      </c>
      <c r="E1124" s="17"/>
      <c r="F1124" s="32"/>
      <c r="G1124" s="6"/>
      <c r="H1124" s="6"/>
      <c r="I1124" s="6"/>
      <c r="J1124" s="6"/>
      <c r="K1124" s="6"/>
      <c r="L1124" s="6"/>
      <c r="M1124" s="6"/>
      <c r="N1124" s="6"/>
      <c r="O1124" s="31"/>
      <c r="P1124" s="32"/>
      <c r="Q1124" s="6"/>
      <c r="R1124" s="59"/>
      <c r="S1124" s="1"/>
      <c r="T1124" s="1"/>
      <c r="U1124" s="1"/>
    </row>
    <row r="1125" spans="1:21" ht="9.75" customHeight="1" x14ac:dyDescent="0.4">
      <c r="A1125" s="1"/>
      <c r="B1125" s="1"/>
      <c r="C1125" s="17"/>
      <c r="D1125" s="17" t="s">
        <v>374</v>
      </c>
      <c r="E1125" s="17"/>
      <c r="F1125" s="32"/>
      <c r="G1125" s="6"/>
      <c r="H1125" s="6"/>
      <c r="I1125" s="6"/>
      <c r="J1125" s="6"/>
      <c r="K1125" s="6"/>
      <c r="L1125" s="6"/>
      <c r="M1125" s="6"/>
      <c r="N1125" s="6"/>
      <c r="O1125" s="31"/>
      <c r="P1125" s="32"/>
      <c r="Q1125" s="6"/>
      <c r="R1125" s="59"/>
      <c r="S1125" s="1"/>
      <c r="T1125" s="1"/>
      <c r="U1125" s="1"/>
    </row>
    <row r="1126" spans="1:21" ht="9.75" customHeight="1" x14ac:dyDescent="0.4">
      <c r="A1126" s="1"/>
      <c r="B1126" s="1"/>
      <c r="C1126" s="17"/>
      <c r="D1126" s="17" t="s">
        <v>374</v>
      </c>
      <c r="E1126" s="17"/>
      <c r="F1126" s="32"/>
      <c r="G1126" s="6"/>
      <c r="H1126" s="6"/>
      <c r="I1126" s="6"/>
      <c r="J1126" s="6"/>
      <c r="K1126" s="6"/>
      <c r="L1126" s="6"/>
      <c r="M1126" s="6"/>
      <c r="N1126" s="6"/>
      <c r="O1126" s="31"/>
      <c r="P1126" s="32"/>
      <c r="Q1126" s="6"/>
      <c r="R1126" s="59"/>
      <c r="S1126" s="1"/>
      <c r="T1126" s="1"/>
      <c r="U1126" s="1"/>
    </row>
    <row r="1127" spans="1:21" ht="9.75" customHeight="1" x14ac:dyDescent="0.4">
      <c r="A1127" s="1"/>
      <c r="B1127" s="1"/>
      <c r="C1127" s="17"/>
      <c r="D1127" s="17" t="s">
        <v>374</v>
      </c>
      <c r="E1127" s="17"/>
      <c r="F1127" s="32"/>
      <c r="G1127" s="6"/>
      <c r="H1127" s="6"/>
      <c r="I1127" s="6"/>
      <c r="J1127" s="6"/>
      <c r="K1127" s="6"/>
      <c r="L1127" s="6"/>
      <c r="M1127" s="6"/>
      <c r="N1127" s="6"/>
      <c r="O1127" s="31"/>
      <c r="P1127" s="32"/>
      <c r="Q1127" s="6"/>
      <c r="R1127" s="59"/>
      <c r="S1127" s="1"/>
      <c r="T1127" s="1"/>
      <c r="U1127" s="1"/>
    </row>
    <row r="1128" spans="1:21" ht="9.75" customHeight="1" x14ac:dyDescent="0.4">
      <c r="A1128" s="1"/>
      <c r="B1128" s="1"/>
      <c r="C1128" s="17"/>
      <c r="D1128" s="17" t="s">
        <v>310</v>
      </c>
      <c r="E1128" s="17">
        <v>2</v>
      </c>
      <c r="F1128" s="32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1</v>
      </c>
      <c r="O1128" s="6">
        <v>2</v>
      </c>
      <c r="P1128" s="32">
        <f>MIN(F1128:O1128)</f>
        <v>0</v>
      </c>
      <c r="Q1128" s="6">
        <f>E1128-P1128</f>
        <v>2</v>
      </c>
      <c r="R1128" s="59">
        <f>Q1128/E1128</f>
        <v>1</v>
      </c>
      <c r="S1128" s="1"/>
      <c r="T1128" s="1"/>
      <c r="U1128" s="1"/>
    </row>
    <row r="1129" spans="1:21" ht="9.75" customHeight="1" x14ac:dyDescent="0.4">
      <c r="A1129" s="1"/>
      <c r="B1129" s="1"/>
      <c r="C1129" s="17"/>
      <c r="D1129" s="17" t="s">
        <v>311</v>
      </c>
      <c r="E1129" s="17"/>
      <c r="F1129" s="32"/>
      <c r="G1129" s="6"/>
      <c r="H1129" s="6"/>
      <c r="I1129" s="6"/>
      <c r="J1129" s="6"/>
      <c r="K1129" s="6"/>
      <c r="L1129" s="6"/>
      <c r="M1129" s="6"/>
      <c r="N1129" s="6"/>
      <c r="O1129" s="31"/>
      <c r="P1129" s="32"/>
      <c r="Q1129" s="6"/>
      <c r="R1129" s="59"/>
      <c r="S1129" s="1"/>
      <c r="T1129" s="1"/>
      <c r="U1129" s="1"/>
    </row>
    <row r="1130" spans="1:21" ht="9.75" customHeight="1" x14ac:dyDescent="0.4">
      <c r="A1130" s="1"/>
      <c r="B1130" s="1"/>
      <c r="C1130" s="17"/>
      <c r="D1130" s="17" t="s">
        <v>312</v>
      </c>
      <c r="E1130" s="17"/>
      <c r="F1130" s="32"/>
      <c r="G1130" s="6"/>
      <c r="H1130" s="6"/>
      <c r="I1130" s="6"/>
      <c r="J1130" s="6"/>
      <c r="K1130" s="6"/>
      <c r="L1130" s="6"/>
      <c r="M1130" s="6"/>
      <c r="N1130" s="6"/>
      <c r="O1130" s="31"/>
      <c r="P1130" s="32"/>
      <c r="Q1130" s="6"/>
      <c r="R1130" s="59"/>
      <c r="S1130" s="1"/>
      <c r="T1130" s="1"/>
      <c r="U1130" s="1"/>
    </row>
    <row r="1131" spans="1:21" ht="9.75" customHeight="1" x14ac:dyDescent="0.4">
      <c r="A1131" s="1"/>
      <c r="B1131" s="1"/>
      <c r="C1131" s="17"/>
      <c r="D1131" s="17" t="s">
        <v>313</v>
      </c>
      <c r="E1131" s="17">
        <v>2</v>
      </c>
      <c r="F1131" s="32">
        <v>2</v>
      </c>
      <c r="G1131" s="6">
        <v>2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2</v>
      </c>
      <c r="N1131" s="6">
        <v>2</v>
      </c>
      <c r="O1131" s="31">
        <v>2</v>
      </c>
      <c r="P1131" s="32">
        <f t="shared" ref="P1131:P1132" si="171">MIN(F1131:O1131)</f>
        <v>0</v>
      </c>
      <c r="Q1131" s="6">
        <f t="shared" ref="Q1131:Q1132" si="172">E1131-P1131</f>
        <v>2</v>
      </c>
      <c r="R1131" s="59">
        <f t="shared" ref="R1131:R1132" si="173">Q1131/E1131</f>
        <v>1</v>
      </c>
      <c r="S1131" s="1"/>
      <c r="T1131" s="1"/>
      <c r="U1131" s="1"/>
    </row>
    <row r="1132" spans="1:21" ht="9.75" customHeight="1" x14ac:dyDescent="0.4">
      <c r="A1132" s="1"/>
      <c r="B1132" s="1" t="s">
        <v>395</v>
      </c>
      <c r="C1132" s="34"/>
      <c r="D1132" s="65" t="s">
        <v>314</v>
      </c>
      <c r="E1132" s="65">
        <f t="shared" ref="E1132:O1132" si="174">SUM(E1116:E1131)</f>
        <v>97</v>
      </c>
      <c r="F1132" s="104">
        <f t="shared" si="174"/>
        <v>3</v>
      </c>
      <c r="G1132" s="128">
        <f t="shared" si="174"/>
        <v>3</v>
      </c>
      <c r="H1132" s="128">
        <f t="shared" si="174"/>
        <v>3</v>
      </c>
      <c r="I1132" s="128">
        <f t="shared" si="174"/>
        <v>4</v>
      </c>
      <c r="J1132" s="128">
        <f t="shared" si="174"/>
        <v>2</v>
      </c>
      <c r="K1132" s="128">
        <f t="shared" si="174"/>
        <v>1</v>
      </c>
      <c r="L1132" s="128">
        <f t="shared" si="174"/>
        <v>3</v>
      </c>
      <c r="M1132" s="128">
        <f t="shared" si="174"/>
        <v>15</v>
      </c>
      <c r="N1132" s="128">
        <f t="shared" si="174"/>
        <v>21</v>
      </c>
      <c r="O1132" s="129">
        <f t="shared" si="174"/>
        <v>24</v>
      </c>
      <c r="P1132" s="104">
        <f t="shared" si="171"/>
        <v>1</v>
      </c>
      <c r="Q1132" s="128">
        <f t="shared" si="172"/>
        <v>96</v>
      </c>
      <c r="R1132" s="72">
        <f t="shared" si="173"/>
        <v>0.98969072164948457</v>
      </c>
      <c r="S1132" s="1"/>
      <c r="T1132" s="1"/>
      <c r="U1132" s="1"/>
    </row>
    <row r="1133" spans="1:21" ht="9.75" customHeight="1" x14ac:dyDescent="0.4">
      <c r="A1133" s="1"/>
      <c r="B1133" s="1"/>
      <c r="C1133" s="17" t="s">
        <v>444</v>
      </c>
      <c r="D1133" s="17" t="s">
        <v>300</v>
      </c>
      <c r="E1133" s="17"/>
      <c r="F1133" s="32"/>
      <c r="G1133" s="6"/>
      <c r="H1133" s="6"/>
      <c r="I1133" s="6"/>
      <c r="J1133" s="6"/>
      <c r="K1133" s="6"/>
      <c r="L1133" s="6"/>
      <c r="M1133" s="6"/>
      <c r="N1133" s="6"/>
      <c r="O1133" s="31"/>
      <c r="P1133" s="32"/>
      <c r="Q1133" s="6"/>
      <c r="R1133" s="59"/>
      <c r="S1133" s="1"/>
      <c r="T1133" s="1"/>
      <c r="U1133" s="1"/>
    </row>
    <row r="1134" spans="1:21" ht="9.75" customHeight="1" x14ac:dyDescent="0.4">
      <c r="A1134" s="1"/>
      <c r="B1134" s="1"/>
      <c r="C1134" s="17"/>
      <c r="D1134" s="17" t="s">
        <v>301</v>
      </c>
      <c r="E1134" s="17">
        <v>18</v>
      </c>
      <c r="F1134" s="32">
        <v>2</v>
      </c>
      <c r="G1134" s="6">
        <v>1</v>
      </c>
      <c r="H1134" s="6">
        <v>2</v>
      </c>
      <c r="I1134" s="6">
        <v>1</v>
      </c>
      <c r="J1134" s="6">
        <v>1</v>
      </c>
      <c r="K1134" s="6">
        <v>0</v>
      </c>
      <c r="L1134" s="6">
        <v>0</v>
      </c>
      <c r="M1134" s="6">
        <v>0</v>
      </c>
      <c r="N1134" s="6">
        <v>2</v>
      </c>
      <c r="O1134" s="31">
        <v>2</v>
      </c>
      <c r="P1134" s="32">
        <f>MIN(F1134:O1134)</f>
        <v>0</v>
      </c>
      <c r="Q1134" s="6">
        <f>E1134-P1134</f>
        <v>18</v>
      </c>
      <c r="R1134" s="59">
        <f>Q1134/E1134</f>
        <v>1</v>
      </c>
      <c r="S1134" s="1"/>
      <c r="T1134" s="1"/>
      <c r="U1134" s="1"/>
    </row>
    <row r="1135" spans="1:21" ht="9.75" customHeight="1" x14ac:dyDescent="0.4">
      <c r="A1135" s="1"/>
      <c r="B1135" s="1"/>
      <c r="C1135" s="17"/>
      <c r="D1135" s="17" t="s">
        <v>303</v>
      </c>
      <c r="E1135" s="17"/>
      <c r="F1135" s="32"/>
      <c r="G1135" s="6"/>
      <c r="H1135" s="6"/>
      <c r="I1135" s="6"/>
      <c r="J1135" s="6"/>
      <c r="K1135" s="6"/>
      <c r="L1135" s="6"/>
      <c r="M1135" s="6"/>
      <c r="N1135" s="6"/>
      <c r="O1135" s="31"/>
      <c r="P1135" s="32"/>
      <c r="Q1135" s="6"/>
      <c r="R1135" s="59"/>
      <c r="S1135" s="1"/>
      <c r="T1135" s="1"/>
      <c r="U1135" s="1"/>
    </row>
    <row r="1136" spans="1:21" ht="9.75" customHeight="1" x14ac:dyDescent="0.4">
      <c r="A1136" s="1"/>
      <c r="B1136" s="1"/>
      <c r="C1136" s="17"/>
      <c r="D1136" s="17" t="s">
        <v>369</v>
      </c>
      <c r="E1136" s="17"/>
      <c r="F1136" s="32"/>
      <c r="G1136" s="6"/>
      <c r="H1136" s="6"/>
      <c r="I1136" s="6"/>
      <c r="J1136" s="6"/>
      <c r="K1136" s="6"/>
      <c r="L1136" s="6"/>
      <c r="M1136" s="6"/>
      <c r="N1136" s="6"/>
      <c r="O1136" s="31"/>
      <c r="P1136" s="32"/>
      <c r="Q1136" s="6"/>
      <c r="R1136" s="59"/>
      <c r="S1136" s="1"/>
      <c r="T1136" s="1"/>
      <c r="U1136" s="1"/>
    </row>
    <row r="1137" spans="1:21" ht="9.75" customHeight="1" x14ac:dyDescent="0.4">
      <c r="A1137" s="1"/>
      <c r="B1137" s="1"/>
      <c r="C1137" s="17"/>
      <c r="D1137" s="17" t="s">
        <v>369</v>
      </c>
      <c r="E1137" s="17"/>
      <c r="F1137" s="32"/>
      <c r="G1137" s="6"/>
      <c r="H1137" s="6"/>
      <c r="I1137" s="6"/>
      <c r="J1137" s="6"/>
      <c r="K1137" s="6"/>
      <c r="L1137" s="6"/>
      <c r="M1137" s="6"/>
      <c r="N1137" s="6"/>
      <c r="O1137" s="31"/>
      <c r="P1137" s="32"/>
      <c r="Q1137" s="6"/>
      <c r="R1137" s="59"/>
      <c r="S1137" s="1"/>
      <c r="T1137" s="1"/>
      <c r="U1137" s="1"/>
    </row>
    <row r="1138" spans="1:21" ht="9.75" customHeight="1" x14ac:dyDescent="0.4">
      <c r="A1138" s="1"/>
      <c r="B1138" s="1"/>
      <c r="C1138" s="17"/>
      <c r="D1138" s="17" t="s">
        <v>308</v>
      </c>
      <c r="E1138" s="17"/>
      <c r="F1138" s="32"/>
      <c r="G1138" s="6"/>
      <c r="H1138" s="6"/>
      <c r="I1138" s="6"/>
      <c r="J1138" s="6"/>
      <c r="K1138" s="6"/>
      <c r="L1138" s="6"/>
      <c r="M1138" s="6"/>
      <c r="N1138" s="6"/>
      <c r="O1138" s="31"/>
      <c r="P1138" s="32"/>
      <c r="Q1138" s="6"/>
      <c r="R1138" s="59"/>
      <c r="S1138" s="1"/>
      <c r="T1138" s="1"/>
      <c r="U1138" s="1"/>
    </row>
    <row r="1139" spans="1:21" ht="9.75" customHeight="1" x14ac:dyDescent="0.4">
      <c r="A1139" s="1"/>
      <c r="B1139" s="1"/>
      <c r="C1139" s="17"/>
      <c r="D1139" s="17" t="s">
        <v>377</v>
      </c>
      <c r="E1139" s="17"/>
      <c r="F1139" s="32"/>
      <c r="G1139" s="6"/>
      <c r="H1139" s="6"/>
      <c r="I1139" s="6"/>
      <c r="J1139" s="6"/>
      <c r="K1139" s="6"/>
      <c r="L1139" s="6"/>
      <c r="M1139" s="6"/>
      <c r="N1139" s="6"/>
      <c r="O1139" s="31"/>
      <c r="P1139" s="32"/>
      <c r="Q1139" s="6"/>
      <c r="R1139" s="59"/>
      <c r="S1139" s="1"/>
      <c r="T1139" s="1"/>
      <c r="U1139" s="1"/>
    </row>
    <row r="1140" spans="1:21" ht="9.75" customHeight="1" x14ac:dyDescent="0.4">
      <c r="A1140" s="1"/>
      <c r="B1140" s="1"/>
      <c r="C1140" s="17"/>
      <c r="D1140" s="17" t="s">
        <v>374</v>
      </c>
      <c r="E1140" s="17"/>
      <c r="F1140" s="32"/>
      <c r="G1140" s="6"/>
      <c r="H1140" s="6"/>
      <c r="I1140" s="6"/>
      <c r="J1140" s="6"/>
      <c r="K1140" s="6"/>
      <c r="L1140" s="6"/>
      <c r="M1140" s="6"/>
      <c r="N1140" s="6"/>
      <c r="O1140" s="31"/>
      <c r="P1140" s="32"/>
      <c r="Q1140" s="6"/>
      <c r="R1140" s="59"/>
      <c r="S1140" s="1"/>
      <c r="T1140" s="1"/>
      <c r="U1140" s="1"/>
    </row>
    <row r="1141" spans="1:21" ht="9.75" customHeight="1" x14ac:dyDescent="0.4">
      <c r="A1141" s="1"/>
      <c r="B1141" s="1"/>
      <c r="C1141" s="17"/>
      <c r="D1141" s="17" t="s">
        <v>374</v>
      </c>
      <c r="E1141" s="17"/>
      <c r="F1141" s="32"/>
      <c r="G1141" s="6"/>
      <c r="H1141" s="6"/>
      <c r="I1141" s="6"/>
      <c r="J1141" s="6"/>
      <c r="K1141" s="6"/>
      <c r="L1141" s="6"/>
      <c r="M1141" s="6"/>
      <c r="N1141" s="6"/>
      <c r="O1141" s="31"/>
      <c r="P1141" s="32"/>
      <c r="Q1141" s="6"/>
      <c r="R1141" s="59"/>
      <c r="S1141" s="1"/>
      <c r="T1141" s="1"/>
      <c r="U1141" s="1"/>
    </row>
    <row r="1142" spans="1:21" ht="9.75" customHeight="1" x14ac:dyDescent="0.4">
      <c r="A1142" s="1"/>
      <c r="B1142" s="1"/>
      <c r="C1142" s="17"/>
      <c r="D1142" s="17" t="s">
        <v>374</v>
      </c>
      <c r="E1142" s="17"/>
      <c r="F1142" s="32"/>
      <c r="G1142" s="6"/>
      <c r="H1142" s="6"/>
      <c r="I1142" s="6"/>
      <c r="J1142" s="6"/>
      <c r="K1142" s="6"/>
      <c r="L1142" s="6"/>
      <c r="M1142" s="6"/>
      <c r="N1142" s="6"/>
      <c r="O1142" s="31"/>
      <c r="P1142" s="32"/>
      <c r="Q1142" s="6"/>
      <c r="R1142" s="59"/>
      <c r="S1142" s="1"/>
      <c r="T1142" s="1"/>
      <c r="U1142" s="1"/>
    </row>
    <row r="1143" spans="1:21" ht="9.75" customHeight="1" x14ac:dyDescent="0.4">
      <c r="A1143" s="1"/>
      <c r="B1143" s="1"/>
      <c r="C1143" s="17"/>
      <c r="D1143" s="17" t="s">
        <v>374</v>
      </c>
      <c r="E1143" s="17"/>
      <c r="F1143" s="32"/>
      <c r="G1143" s="6"/>
      <c r="H1143" s="6"/>
      <c r="I1143" s="6"/>
      <c r="J1143" s="6"/>
      <c r="K1143" s="6"/>
      <c r="L1143" s="6"/>
      <c r="M1143" s="6"/>
      <c r="N1143" s="6"/>
      <c r="O1143" s="31"/>
      <c r="P1143" s="32"/>
      <c r="Q1143" s="6"/>
      <c r="R1143" s="59"/>
      <c r="S1143" s="1"/>
      <c r="T1143" s="1"/>
      <c r="U1143" s="1"/>
    </row>
    <row r="1144" spans="1:21" ht="9.75" customHeight="1" x14ac:dyDescent="0.4">
      <c r="A1144" s="1"/>
      <c r="B1144" s="1"/>
      <c r="C1144" s="17"/>
      <c r="D1144" s="17" t="s">
        <v>374</v>
      </c>
      <c r="E1144" s="17"/>
      <c r="F1144" s="32"/>
      <c r="G1144" s="6"/>
      <c r="H1144" s="6"/>
      <c r="I1144" s="6"/>
      <c r="J1144" s="6"/>
      <c r="K1144" s="6"/>
      <c r="L1144" s="6"/>
      <c r="M1144" s="6"/>
      <c r="N1144" s="6"/>
      <c r="O1144" s="31"/>
      <c r="P1144" s="32"/>
      <c r="Q1144" s="6"/>
      <c r="R1144" s="59"/>
      <c r="S1144" s="1"/>
      <c r="T1144" s="1"/>
      <c r="U1144" s="1"/>
    </row>
    <row r="1145" spans="1:21" ht="9.75" customHeight="1" x14ac:dyDescent="0.4">
      <c r="A1145" s="1"/>
      <c r="B1145" s="1"/>
      <c r="C1145" s="17"/>
      <c r="D1145" s="17" t="s">
        <v>310</v>
      </c>
      <c r="E1145" s="17">
        <v>2</v>
      </c>
      <c r="F1145" s="32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1</v>
      </c>
      <c r="O1145" s="6">
        <v>1</v>
      </c>
      <c r="P1145" s="32">
        <f>MIN(F1145:O1145)</f>
        <v>0</v>
      </c>
      <c r="Q1145" s="6">
        <f>E1145-P1145</f>
        <v>2</v>
      </c>
      <c r="R1145" s="59">
        <f>Q1145/E1145</f>
        <v>1</v>
      </c>
      <c r="S1145" s="1"/>
      <c r="T1145" s="1"/>
      <c r="U1145" s="1"/>
    </row>
    <row r="1146" spans="1:21" ht="9.75" customHeight="1" x14ac:dyDescent="0.4">
      <c r="A1146" s="1"/>
      <c r="B1146" s="1"/>
      <c r="C1146" s="17"/>
      <c r="D1146" s="17" t="s">
        <v>311</v>
      </c>
      <c r="E1146" s="17"/>
      <c r="F1146" s="32"/>
      <c r="G1146" s="6"/>
      <c r="H1146" s="6"/>
      <c r="I1146" s="6"/>
      <c r="J1146" s="6"/>
      <c r="K1146" s="6"/>
      <c r="L1146" s="6"/>
      <c r="M1146" s="6"/>
      <c r="N1146" s="6"/>
      <c r="O1146" s="31"/>
      <c r="P1146" s="32"/>
      <c r="Q1146" s="6"/>
      <c r="R1146" s="59"/>
      <c r="S1146" s="1"/>
      <c r="T1146" s="1"/>
      <c r="U1146" s="1"/>
    </row>
    <row r="1147" spans="1:21" ht="9.75" customHeight="1" x14ac:dyDescent="0.4">
      <c r="A1147" s="1"/>
      <c r="B1147" s="1"/>
      <c r="C1147" s="17"/>
      <c r="D1147" s="17" t="s">
        <v>312</v>
      </c>
      <c r="E1147" s="17"/>
      <c r="F1147" s="32"/>
      <c r="G1147" s="6"/>
      <c r="H1147" s="6"/>
      <c r="I1147" s="6"/>
      <c r="J1147" s="6"/>
      <c r="K1147" s="6"/>
      <c r="L1147" s="6"/>
      <c r="M1147" s="6"/>
      <c r="N1147" s="6"/>
      <c r="O1147" s="31"/>
      <c r="P1147" s="32"/>
      <c r="Q1147" s="6"/>
      <c r="R1147" s="59"/>
      <c r="S1147" s="1"/>
      <c r="T1147" s="1"/>
      <c r="U1147" s="1"/>
    </row>
    <row r="1148" spans="1:21" ht="9.75" customHeight="1" x14ac:dyDescent="0.4">
      <c r="A1148" s="1"/>
      <c r="B1148" s="1"/>
      <c r="C1148" s="17"/>
      <c r="D1148" s="17" t="s">
        <v>313</v>
      </c>
      <c r="E1148" s="17">
        <v>2</v>
      </c>
      <c r="F1148" s="32">
        <v>2</v>
      </c>
      <c r="G1148" s="6">
        <v>1</v>
      </c>
      <c r="H1148" s="6">
        <v>1</v>
      </c>
      <c r="I1148" s="6">
        <v>1</v>
      </c>
      <c r="J1148" s="6">
        <v>1</v>
      </c>
      <c r="K1148" s="6">
        <v>1</v>
      </c>
      <c r="L1148" s="6">
        <v>0</v>
      </c>
      <c r="M1148" s="6">
        <v>2</v>
      </c>
      <c r="N1148" s="6">
        <v>0</v>
      </c>
      <c r="O1148" s="31">
        <v>1</v>
      </c>
      <c r="P1148" s="32">
        <f t="shared" ref="P1148:P1149" si="175">MIN(F1148:O1148)</f>
        <v>0</v>
      </c>
      <c r="Q1148" s="6">
        <f t="shared" ref="Q1148:Q1149" si="176">E1148-P1148</f>
        <v>2</v>
      </c>
      <c r="R1148" s="59">
        <f t="shared" ref="R1148:R1149" si="177">Q1148/E1148</f>
        <v>1</v>
      </c>
      <c r="S1148" s="1"/>
      <c r="T1148" s="1"/>
      <c r="U1148" s="1"/>
    </row>
    <row r="1149" spans="1:21" ht="9.75" customHeight="1" x14ac:dyDescent="0.4">
      <c r="A1149" s="1"/>
      <c r="B1149" s="1" t="s">
        <v>395</v>
      </c>
      <c r="C1149" s="17"/>
      <c r="D1149" s="65" t="s">
        <v>314</v>
      </c>
      <c r="E1149" s="65">
        <f t="shared" ref="E1149:O1149" si="178">SUM(E1133:E1148)</f>
        <v>22</v>
      </c>
      <c r="F1149" s="104">
        <f t="shared" si="178"/>
        <v>4</v>
      </c>
      <c r="G1149" s="128">
        <f t="shared" si="178"/>
        <v>2</v>
      </c>
      <c r="H1149" s="128">
        <f t="shared" si="178"/>
        <v>3</v>
      </c>
      <c r="I1149" s="128">
        <f t="shared" si="178"/>
        <v>2</v>
      </c>
      <c r="J1149" s="128">
        <f t="shared" si="178"/>
        <v>2</v>
      </c>
      <c r="K1149" s="128">
        <f t="shared" si="178"/>
        <v>1</v>
      </c>
      <c r="L1149" s="128">
        <f t="shared" si="178"/>
        <v>0</v>
      </c>
      <c r="M1149" s="128">
        <f t="shared" si="178"/>
        <v>2</v>
      </c>
      <c r="N1149" s="128">
        <f t="shared" si="178"/>
        <v>3</v>
      </c>
      <c r="O1149" s="129">
        <f t="shared" si="178"/>
        <v>4</v>
      </c>
      <c r="P1149" s="104">
        <f t="shared" si="175"/>
        <v>0</v>
      </c>
      <c r="Q1149" s="128">
        <f t="shared" si="176"/>
        <v>22</v>
      </c>
      <c r="R1149" s="72">
        <f t="shared" si="177"/>
        <v>1</v>
      </c>
      <c r="S1149" s="1"/>
      <c r="T1149" s="1"/>
      <c r="U1149" s="1"/>
    </row>
    <row r="1150" spans="1:21" ht="9.75" customHeight="1" x14ac:dyDescent="0.4">
      <c r="A1150" s="1"/>
      <c r="B1150" s="1"/>
      <c r="C1150" s="15" t="s">
        <v>81</v>
      </c>
      <c r="D1150" s="15" t="s">
        <v>300</v>
      </c>
      <c r="E1150" s="15"/>
      <c r="F1150" s="73"/>
      <c r="G1150" s="108"/>
      <c r="H1150" s="108"/>
      <c r="I1150" s="108"/>
      <c r="J1150" s="108"/>
      <c r="K1150" s="108"/>
      <c r="L1150" s="108"/>
      <c r="M1150" s="108"/>
      <c r="N1150" s="108"/>
      <c r="O1150" s="109"/>
      <c r="P1150" s="73"/>
      <c r="Q1150" s="108"/>
      <c r="R1150" s="188"/>
      <c r="S1150" s="1"/>
      <c r="T1150" s="1"/>
      <c r="U1150" s="1"/>
    </row>
    <row r="1151" spans="1:21" ht="9.75" customHeight="1" x14ac:dyDescent="0.4">
      <c r="A1151" s="1"/>
      <c r="B1151" s="1"/>
      <c r="C1151" s="17"/>
      <c r="D1151" s="17" t="s">
        <v>301</v>
      </c>
      <c r="E1151" s="17"/>
      <c r="F1151" s="32"/>
      <c r="G1151" s="6"/>
      <c r="H1151" s="6"/>
      <c r="I1151" s="6"/>
      <c r="J1151" s="6"/>
      <c r="K1151" s="6"/>
      <c r="L1151" s="6"/>
      <c r="M1151" s="6"/>
      <c r="N1151" s="6"/>
      <c r="O1151" s="31"/>
      <c r="P1151" s="32"/>
      <c r="Q1151" s="6"/>
      <c r="R1151" s="59"/>
      <c r="S1151" s="1"/>
      <c r="T1151" s="1"/>
      <c r="U1151" s="1"/>
    </row>
    <row r="1152" spans="1:21" ht="9.75" customHeight="1" x14ac:dyDescent="0.4">
      <c r="A1152" s="1"/>
      <c r="B1152" s="1"/>
      <c r="C1152" s="17"/>
      <c r="D1152" s="17" t="s">
        <v>303</v>
      </c>
      <c r="E1152" s="17"/>
      <c r="F1152" s="32"/>
      <c r="G1152" s="6"/>
      <c r="H1152" s="6"/>
      <c r="I1152" s="6"/>
      <c r="J1152" s="6"/>
      <c r="K1152" s="6"/>
      <c r="L1152" s="6"/>
      <c r="M1152" s="6"/>
      <c r="N1152" s="6"/>
      <c r="O1152" s="31"/>
      <c r="P1152" s="32"/>
      <c r="Q1152" s="6"/>
      <c r="R1152" s="59"/>
      <c r="S1152" s="1"/>
      <c r="T1152" s="1"/>
      <c r="U1152" s="1"/>
    </row>
    <row r="1153" spans="1:21" ht="9.75" customHeight="1" x14ac:dyDescent="0.4">
      <c r="A1153" s="1"/>
      <c r="B1153" s="1"/>
      <c r="C1153" s="17"/>
      <c r="D1153" s="17" t="s">
        <v>369</v>
      </c>
      <c r="E1153" s="17"/>
      <c r="F1153" s="32"/>
      <c r="G1153" s="6"/>
      <c r="H1153" s="6"/>
      <c r="I1153" s="6"/>
      <c r="J1153" s="6"/>
      <c r="K1153" s="6"/>
      <c r="L1153" s="6"/>
      <c r="M1153" s="6"/>
      <c r="N1153" s="6"/>
      <c r="O1153" s="31"/>
      <c r="P1153" s="32"/>
      <c r="Q1153" s="6"/>
      <c r="R1153" s="59"/>
      <c r="S1153" s="1"/>
      <c r="T1153" s="1"/>
      <c r="U1153" s="1"/>
    </row>
    <row r="1154" spans="1:21" ht="9.75" customHeight="1" x14ac:dyDescent="0.4">
      <c r="A1154" s="1"/>
      <c r="B1154" s="1"/>
      <c r="C1154" s="17"/>
      <c r="D1154" s="17" t="s">
        <v>369</v>
      </c>
      <c r="E1154" s="17"/>
      <c r="F1154" s="32"/>
      <c r="G1154" s="6"/>
      <c r="H1154" s="6"/>
      <c r="I1154" s="6"/>
      <c r="J1154" s="6"/>
      <c r="K1154" s="6"/>
      <c r="L1154" s="6"/>
      <c r="M1154" s="6"/>
      <c r="N1154" s="6"/>
      <c r="O1154" s="31"/>
      <c r="P1154" s="32"/>
      <c r="Q1154" s="6"/>
      <c r="R1154" s="59"/>
      <c r="S1154" s="1"/>
      <c r="T1154" s="1"/>
      <c r="U1154" s="1"/>
    </row>
    <row r="1155" spans="1:21" ht="9.75" customHeight="1" x14ac:dyDescent="0.4">
      <c r="A1155" s="1"/>
      <c r="B1155" s="1"/>
      <c r="C1155" s="17"/>
      <c r="D1155" s="17" t="s">
        <v>308</v>
      </c>
      <c r="E1155" s="17"/>
      <c r="F1155" s="32"/>
      <c r="G1155" s="6"/>
      <c r="H1155" s="6"/>
      <c r="I1155" s="6"/>
      <c r="J1155" s="6"/>
      <c r="K1155" s="6"/>
      <c r="L1155" s="6"/>
      <c r="M1155" s="6"/>
      <c r="N1155" s="6"/>
      <c r="O1155" s="31"/>
      <c r="P1155" s="32"/>
      <c r="Q1155" s="6"/>
      <c r="R1155" s="59"/>
      <c r="S1155" s="1"/>
      <c r="T1155" s="1"/>
      <c r="U1155" s="1"/>
    </row>
    <row r="1156" spans="1:21" ht="9.75" customHeight="1" x14ac:dyDescent="0.4">
      <c r="A1156" s="1"/>
      <c r="B1156" s="1"/>
      <c r="C1156" s="17"/>
      <c r="D1156" s="17" t="s">
        <v>374</v>
      </c>
      <c r="E1156" s="17"/>
      <c r="F1156" s="32"/>
      <c r="G1156" s="6"/>
      <c r="H1156" s="6"/>
      <c r="I1156" s="6"/>
      <c r="J1156" s="6"/>
      <c r="K1156" s="6"/>
      <c r="L1156" s="6"/>
      <c r="M1156" s="6"/>
      <c r="N1156" s="6"/>
      <c r="O1156" s="31"/>
      <c r="P1156" s="32"/>
      <c r="Q1156" s="6"/>
      <c r="R1156" s="59"/>
      <c r="S1156" s="1"/>
      <c r="T1156" s="1"/>
      <c r="U1156" s="1"/>
    </row>
    <row r="1157" spans="1:21" ht="9.75" customHeight="1" x14ac:dyDescent="0.4">
      <c r="A1157" s="1"/>
      <c r="B1157" s="1"/>
      <c r="C1157" s="17"/>
      <c r="D1157" s="17" t="s">
        <v>374</v>
      </c>
      <c r="E1157" s="17"/>
      <c r="F1157" s="32"/>
      <c r="G1157" s="6"/>
      <c r="H1157" s="6"/>
      <c r="I1157" s="6"/>
      <c r="J1157" s="6"/>
      <c r="K1157" s="6"/>
      <c r="L1157" s="6"/>
      <c r="M1157" s="6"/>
      <c r="N1157" s="6"/>
      <c r="O1157" s="31"/>
      <c r="P1157" s="32"/>
      <c r="Q1157" s="6"/>
      <c r="R1157" s="59"/>
      <c r="S1157" s="1"/>
      <c r="T1157" s="1"/>
      <c r="U1157" s="1"/>
    </row>
    <row r="1158" spans="1:21" ht="9.75" customHeight="1" x14ac:dyDescent="0.4">
      <c r="A1158" s="1"/>
      <c r="B1158" s="1"/>
      <c r="C1158" s="17"/>
      <c r="D1158" s="17" t="s">
        <v>374</v>
      </c>
      <c r="E1158" s="17"/>
      <c r="F1158" s="32"/>
      <c r="G1158" s="6"/>
      <c r="H1158" s="6"/>
      <c r="I1158" s="6"/>
      <c r="J1158" s="6"/>
      <c r="K1158" s="6"/>
      <c r="L1158" s="6"/>
      <c r="M1158" s="6"/>
      <c r="N1158" s="6"/>
      <c r="O1158" s="31"/>
      <c r="P1158" s="32"/>
      <c r="Q1158" s="6"/>
      <c r="R1158" s="59"/>
      <c r="S1158" s="1"/>
      <c r="T1158" s="1"/>
      <c r="U1158" s="1"/>
    </row>
    <row r="1159" spans="1:21" ht="9.75" customHeight="1" x14ac:dyDescent="0.4">
      <c r="A1159" s="1"/>
      <c r="B1159" s="1"/>
      <c r="C1159" s="17"/>
      <c r="D1159" s="17" t="s">
        <v>374</v>
      </c>
      <c r="E1159" s="17"/>
      <c r="F1159" s="32"/>
      <c r="G1159" s="6"/>
      <c r="H1159" s="6"/>
      <c r="I1159" s="6"/>
      <c r="J1159" s="6"/>
      <c r="K1159" s="6"/>
      <c r="L1159" s="6"/>
      <c r="M1159" s="6"/>
      <c r="N1159" s="6"/>
      <c r="O1159" s="31"/>
      <c r="P1159" s="32"/>
      <c r="Q1159" s="6"/>
      <c r="R1159" s="59"/>
      <c r="S1159" s="1"/>
      <c r="T1159" s="1"/>
      <c r="U1159" s="1"/>
    </row>
    <row r="1160" spans="1:21" ht="9.75" customHeight="1" x14ac:dyDescent="0.4">
      <c r="A1160" s="1"/>
      <c r="B1160" s="1"/>
      <c r="C1160" s="17"/>
      <c r="D1160" s="17" t="s">
        <v>374</v>
      </c>
      <c r="E1160" s="17"/>
      <c r="F1160" s="32"/>
      <c r="G1160" s="6"/>
      <c r="H1160" s="6"/>
      <c r="I1160" s="6"/>
      <c r="J1160" s="6"/>
      <c r="K1160" s="6"/>
      <c r="L1160" s="6"/>
      <c r="M1160" s="6"/>
      <c r="N1160" s="6"/>
      <c r="O1160" s="31"/>
      <c r="P1160" s="32"/>
      <c r="Q1160" s="6"/>
      <c r="R1160" s="59"/>
      <c r="S1160" s="1"/>
      <c r="T1160" s="1"/>
      <c r="U1160" s="1"/>
    </row>
    <row r="1161" spans="1:21" ht="9.75" customHeight="1" x14ac:dyDescent="0.4">
      <c r="A1161" s="1"/>
      <c r="B1161" s="1"/>
      <c r="C1161" s="17"/>
      <c r="D1161" s="17" t="s">
        <v>374</v>
      </c>
      <c r="E1161" s="17"/>
      <c r="F1161" s="32"/>
      <c r="G1161" s="6"/>
      <c r="H1161" s="6"/>
      <c r="I1161" s="6"/>
      <c r="J1161" s="6"/>
      <c r="K1161" s="6"/>
      <c r="L1161" s="6"/>
      <c r="M1161" s="6"/>
      <c r="N1161" s="6"/>
      <c r="O1161" s="31"/>
      <c r="P1161" s="32"/>
      <c r="Q1161" s="6"/>
      <c r="R1161" s="59"/>
      <c r="S1161" s="1"/>
      <c r="T1161" s="1"/>
      <c r="U1161" s="1"/>
    </row>
    <row r="1162" spans="1:21" ht="9.75" customHeight="1" x14ac:dyDescent="0.4">
      <c r="A1162" s="1"/>
      <c r="B1162" s="1"/>
      <c r="C1162" s="17"/>
      <c r="D1162" s="17" t="s">
        <v>310</v>
      </c>
      <c r="E1162" s="17"/>
      <c r="F1162" s="32"/>
      <c r="G1162" s="6"/>
      <c r="H1162" s="6"/>
      <c r="I1162" s="6"/>
      <c r="J1162" s="6"/>
      <c r="K1162" s="6"/>
      <c r="L1162" s="6"/>
      <c r="M1162" s="6"/>
      <c r="N1162" s="6"/>
      <c r="O1162" s="31"/>
      <c r="P1162" s="32"/>
      <c r="Q1162" s="6"/>
      <c r="R1162" s="59"/>
      <c r="S1162" s="1"/>
      <c r="T1162" s="1"/>
      <c r="U1162" s="1"/>
    </row>
    <row r="1163" spans="1:21" ht="9.75" customHeight="1" x14ac:dyDescent="0.4">
      <c r="A1163" s="1"/>
      <c r="B1163" s="1"/>
      <c r="C1163" s="17"/>
      <c r="D1163" s="17" t="s">
        <v>311</v>
      </c>
      <c r="E1163" s="17"/>
      <c r="F1163" s="32"/>
      <c r="G1163" s="6"/>
      <c r="H1163" s="6"/>
      <c r="I1163" s="6"/>
      <c r="J1163" s="6"/>
      <c r="K1163" s="6"/>
      <c r="L1163" s="6"/>
      <c r="M1163" s="6"/>
      <c r="N1163" s="6"/>
      <c r="O1163" s="31"/>
      <c r="P1163" s="32"/>
      <c r="Q1163" s="6"/>
      <c r="R1163" s="59"/>
      <c r="S1163" s="1"/>
      <c r="T1163" s="1"/>
      <c r="U1163" s="1"/>
    </row>
    <row r="1164" spans="1:21" ht="9.75" customHeight="1" x14ac:dyDescent="0.4">
      <c r="A1164" s="1"/>
      <c r="B1164" s="1"/>
      <c r="C1164" s="17"/>
      <c r="D1164" s="17" t="s">
        <v>312</v>
      </c>
      <c r="E1164" s="17">
        <v>3</v>
      </c>
      <c r="F1164" s="32">
        <v>3</v>
      </c>
      <c r="G1164" s="6">
        <v>3</v>
      </c>
      <c r="H1164" s="6">
        <v>1</v>
      </c>
      <c r="I1164" s="6">
        <v>2</v>
      </c>
      <c r="J1164" s="74">
        <v>3</v>
      </c>
      <c r="K1164" s="74">
        <v>3</v>
      </c>
      <c r="L1164" s="74">
        <v>3</v>
      </c>
      <c r="M1164" s="74">
        <v>3</v>
      </c>
      <c r="N1164" s="74">
        <v>3</v>
      </c>
      <c r="O1164" s="123">
        <v>3</v>
      </c>
      <c r="P1164" s="32">
        <f>MIN(F1164:O1164)</f>
        <v>1</v>
      </c>
      <c r="Q1164" s="6">
        <f>E1164-P1164</f>
        <v>2</v>
      </c>
      <c r="R1164" s="59">
        <f>Q1164/E1164</f>
        <v>0.66666666666666663</v>
      </c>
      <c r="S1164" s="1"/>
      <c r="T1164" s="1"/>
      <c r="U1164" s="1"/>
    </row>
    <row r="1165" spans="1:21" ht="9.75" customHeight="1" x14ac:dyDescent="0.4">
      <c r="A1165" s="1"/>
      <c r="B1165" s="1"/>
      <c r="C1165" s="17"/>
      <c r="D1165" s="17" t="s">
        <v>313</v>
      </c>
      <c r="E1165" s="17"/>
      <c r="F1165" s="32"/>
      <c r="G1165" s="6"/>
      <c r="H1165" s="6"/>
      <c r="I1165" s="6"/>
      <c r="J1165" s="6"/>
      <c r="K1165" s="6"/>
      <c r="L1165" s="6"/>
      <c r="M1165" s="6"/>
      <c r="N1165" s="6"/>
      <c r="O1165" s="31"/>
      <c r="P1165" s="32"/>
      <c r="Q1165" s="6"/>
      <c r="R1165" s="59"/>
      <c r="S1165" s="1"/>
      <c r="T1165" s="1"/>
      <c r="U1165" s="1"/>
    </row>
    <row r="1166" spans="1:21" ht="9.75" customHeight="1" x14ac:dyDescent="0.4">
      <c r="A1166" s="1"/>
      <c r="B1166" s="1" t="s">
        <v>395</v>
      </c>
      <c r="C1166" s="34"/>
      <c r="D1166" s="65" t="s">
        <v>314</v>
      </c>
      <c r="E1166" s="65">
        <f t="shared" ref="E1166:O1166" si="179">SUM(E1150:E1165)</f>
        <v>3</v>
      </c>
      <c r="F1166" s="104">
        <f t="shared" si="179"/>
        <v>3</v>
      </c>
      <c r="G1166" s="128">
        <f t="shared" si="179"/>
        <v>3</v>
      </c>
      <c r="H1166" s="128">
        <f t="shared" si="179"/>
        <v>1</v>
      </c>
      <c r="I1166" s="128">
        <f t="shared" si="179"/>
        <v>2</v>
      </c>
      <c r="J1166" s="128">
        <f t="shared" si="179"/>
        <v>3</v>
      </c>
      <c r="K1166" s="128">
        <f t="shared" si="179"/>
        <v>3</v>
      </c>
      <c r="L1166" s="128">
        <f t="shared" si="179"/>
        <v>3</v>
      </c>
      <c r="M1166" s="128">
        <f t="shared" si="179"/>
        <v>3</v>
      </c>
      <c r="N1166" s="128">
        <f t="shared" si="179"/>
        <v>3</v>
      </c>
      <c r="O1166" s="129">
        <f t="shared" si="179"/>
        <v>3</v>
      </c>
      <c r="P1166" s="104">
        <f>MIN(F1166:O1166)</f>
        <v>1</v>
      </c>
      <c r="Q1166" s="128">
        <f>E1166-P1166</f>
        <v>2</v>
      </c>
      <c r="R1166" s="72">
        <f>Q1166/E1166</f>
        <v>0.66666666666666663</v>
      </c>
      <c r="S1166" s="1"/>
      <c r="T1166" s="1"/>
      <c r="U1166" s="1"/>
    </row>
    <row r="1167" spans="1:21" ht="9.75" customHeight="1" x14ac:dyDescent="0.4">
      <c r="A1167" s="1"/>
      <c r="B1167" s="1"/>
      <c r="C1167" s="15" t="s">
        <v>100</v>
      </c>
      <c r="D1167" s="15" t="s">
        <v>300</v>
      </c>
      <c r="E1167" s="15"/>
      <c r="F1167" s="73"/>
      <c r="G1167" s="108"/>
      <c r="H1167" s="108"/>
      <c r="I1167" s="108"/>
      <c r="J1167" s="108"/>
      <c r="K1167" s="108"/>
      <c r="L1167" s="108"/>
      <c r="M1167" s="108"/>
      <c r="N1167" s="108"/>
      <c r="O1167" s="109"/>
      <c r="P1167" s="73"/>
      <c r="Q1167" s="108"/>
      <c r="R1167" s="188"/>
      <c r="S1167" s="1"/>
      <c r="T1167" s="1"/>
      <c r="U1167" s="1"/>
    </row>
    <row r="1168" spans="1:21" ht="9.75" customHeight="1" x14ac:dyDescent="0.4">
      <c r="A1168" s="1"/>
      <c r="B1168" s="1"/>
      <c r="C1168" s="17"/>
      <c r="D1168" s="17" t="s">
        <v>301</v>
      </c>
      <c r="E1168" s="17"/>
      <c r="F1168" s="32"/>
      <c r="G1168" s="6"/>
      <c r="H1168" s="6"/>
      <c r="I1168" s="6"/>
      <c r="J1168" s="6"/>
      <c r="K1168" s="6"/>
      <c r="L1168" s="6"/>
      <c r="M1168" s="6"/>
      <c r="N1168" s="6"/>
      <c r="O1168" s="31"/>
      <c r="P1168" s="32"/>
      <c r="Q1168" s="6"/>
      <c r="R1168" s="59"/>
      <c r="S1168" s="1"/>
      <c r="T1168" s="1"/>
      <c r="U1168" s="1"/>
    </row>
    <row r="1169" spans="1:21" ht="9.75" customHeight="1" x14ac:dyDescent="0.4">
      <c r="A1169" s="1"/>
      <c r="B1169" s="1"/>
      <c r="C1169" s="17"/>
      <c r="D1169" s="17" t="s">
        <v>303</v>
      </c>
      <c r="E1169" s="17"/>
      <c r="F1169" s="32"/>
      <c r="G1169" s="6"/>
      <c r="H1169" s="6"/>
      <c r="I1169" s="6"/>
      <c r="J1169" s="6"/>
      <c r="K1169" s="6"/>
      <c r="L1169" s="6"/>
      <c r="M1169" s="6"/>
      <c r="N1169" s="6"/>
      <c r="O1169" s="31"/>
      <c r="P1169" s="32"/>
      <c r="Q1169" s="6"/>
      <c r="R1169" s="59"/>
      <c r="S1169" s="1"/>
      <c r="T1169" s="1"/>
      <c r="U1169" s="1"/>
    </row>
    <row r="1170" spans="1:21" ht="9.75" customHeight="1" x14ac:dyDescent="0.4">
      <c r="A1170" s="1"/>
      <c r="B1170" s="1"/>
      <c r="C1170" s="17"/>
      <c r="D1170" s="17" t="s">
        <v>369</v>
      </c>
      <c r="E1170" s="17"/>
      <c r="F1170" s="32"/>
      <c r="G1170" s="6"/>
      <c r="H1170" s="6"/>
      <c r="I1170" s="6"/>
      <c r="J1170" s="6"/>
      <c r="K1170" s="6"/>
      <c r="L1170" s="6"/>
      <c r="M1170" s="6"/>
      <c r="N1170" s="6"/>
      <c r="O1170" s="31"/>
      <c r="P1170" s="32"/>
      <c r="Q1170" s="6"/>
      <c r="R1170" s="59"/>
      <c r="S1170" s="1"/>
      <c r="T1170" s="1"/>
      <c r="U1170" s="1"/>
    </row>
    <row r="1171" spans="1:21" ht="9.75" customHeight="1" x14ac:dyDescent="0.4">
      <c r="A1171" s="1"/>
      <c r="B1171" s="1"/>
      <c r="C1171" s="17"/>
      <c r="D1171" s="17" t="s">
        <v>369</v>
      </c>
      <c r="E1171" s="17"/>
      <c r="F1171" s="32"/>
      <c r="G1171" s="6"/>
      <c r="H1171" s="6"/>
      <c r="I1171" s="6"/>
      <c r="J1171" s="6"/>
      <c r="K1171" s="6"/>
      <c r="L1171" s="6"/>
      <c r="M1171" s="6"/>
      <c r="N1171" s="6"/>
      <c r="O1171" s="31"/>
      <c r="P1171" s="32"/>
      <c r="Q1171" s="6"/>
      <c r="R1171" s="59"/>
      <c r="S1171" s="1"/>
      <c r="T1171" s="1"/>
      <c r="U1171" s="1"/>
    </row>
    <row r="1172" spans="1:21" ht="9.75" customHeight="1" x14ac:dyDescent="0.4">
      <c r="A1172" s="1"/>
      <c r="B1172" s="1"/>
      <c r="C1172" s="17"/>
      <c r="D1172" s="17" t="s">
        <v>308</v>
      </c>
      <c r="E1172" s="17">
        <v>4</v>
      </c>
      <c r="F1172" s="32">
        <v>4</v>
      </c>
      <c r="G1172" s="6">
        <v>4</v>
      </c>
      <c r="H1172" s="6">
        <v>4</v>
      </c>
      <c r="I1172" s="6">
        <v>4</v>
      </c>
      <c r="J1172" s="6">
        <v>4</v>
      </c>
      <c r="K1172" s="6">
        <v>3</v>
      </c>
      <c r="L1172" s="6">
        <v>3</v>
      </c>
      <c r="M1172" s="6">
        <v>4</v>
      </c>
      <c r="N1172" s="6">
        <v>4</v>
      </c>
      <c r="O1172" s="6">
        <v>4</v>
      </c>
      <c r="P1172" s="32">
        <f t="shared" ref="P1172:P1174" si="180">MIN(F1172:O1172)</f>
        <v>3</v>
      </c>
      <c r="Q1172" s="6">
        <f t="shared" ref="Q1172:Q1174" si="181">E1172-P1172</f>
        <v>1</v>
      </c>
      <c r="R1172" s="59">
        <f t="shared" ref="R1172:R1174" si="182">Q1172/E1172</f>
        <v>0.25</v>
      </c>
      <c r="S1172" s="1"/>
      <c r="T1172" s="1"/>
      <c r="U1172" s="1"/>
    </row>
    <row r="1173" spans="1:21" ht="9.75" customHeight="1" x14ac:dyDescent="0.4">
      <c r="A1173" s="1"/>
      <c r="B1173" s="1"/>
      <c r="C1173" s="17"/>
      <c r="D1173" s="17" t="s">
        <v>437</v>
      </c>
      <c r="E1173" s="17">
        <v>1</v>
      </c>
      <c r="F1173" s="32">
        <v>1</v>
      </c>
      <c r="G1173" s="6">
        <v>1</v>
      </c>
      <c r="H1173" s="6">
        <v>1</v>
      </c>
      <c r="I1173" s="6">
        <v>1</v>
      </c>
      <c r="J1173" s="6">
        <v>1</v>
      </c>
      <c r="K1173" s="6">
        <v>1</v>
      </c>
      <c r="L1173" s="6">
        <v>1</v>
      </c>
      <c r="M1173" s="6">
        <v>1</v>
      </c>
      <c r="N1173" s="6">
        <v>1</v>
      </c>
      <c r="O1173" s="6">
        <v>1</v>
      </c>
      <c r="P1173" s="32">
        <f t="shared" si="180"/>
        <v>1</v>
      </c>
      <c r="Q1173" s="6">
        <f t="shared" si="181"/>
        <v>0</v>
      </c>
      <c r="R1173" s="59">
        <f t="shared" si="182"/>
        <v>0</v>
      </c>
      <c r="S1173" s="1"/>
      <c r="T1173" s="1"/>
      <c r="U1173" s="1"/>
    </row>
    <row r="1174" spans="1:21" ht="9.75" customHeight="1" x14ac:dyDescent="0.4">
      <c r="A1174" s="1"/>
      <c r="B1174" s="1"/>
      <c r="C1174" s="17"/>
      <c r="D1174" s="17" t="s">
        <v>429</v>
      </c>
      <c r="E1174" s="17">
        <v>21</v>
      </c>
      <c r="F1174" s="32">
        <v>14</v>
      </c>
      <c r="G1174" s="6">
        <v>9</v>
      </c>
      <c r="H1174" s="6">
        <v>7</v>
      </c>
      <c r="I1174" s="6">
        <v>9</v>
      </c>
      <c r="J1174" s="6">
        <v>9</v>
      </c>
      <c r="K1174" s="6">
        <v>8</v>
      </c>
      <c r="L1174" s="6">
        <v>8</v>
      </c>
      <c r="M1174" s="6">
        <v>10</v>
      </c>
      <c r="N1174" s="6">
        <v>11</v>
      </c>
      <c r="O1174" s="6">
        <v>15</v>
      </c>
      <c r="P1174" s="32">
        <f t="shared" si="180"/>
        <v>7</v>
      </c>
      <c r="Q1174" s="6">
        <f t="shared" si="181"/>
        <v>14</v>
      </c>
      <c r="R1174" s="59">
        <f t="shared" si="182"/>
        <v>0.66666666666666663</v>
      </c>
      <c r="S1174" s="1"/>
      <c r="T1174" s="1"/>
      <c r="U1174" s="1"/>
    </row>
    <row r="1175" spans="1:21" ht="9.75" customHeight="1" x14ac:dyDescent="0.4">
      <c r="A1175" s="1"/>
      <c r="B1175" s="1"/>
      <c r="C1175" s="17"/>
      <c r="D1175" s="17" t="s">
        <v>374</v>
      </c>
      <c r="E1175" s="17"/>
      <c r="F1175" s="32"/>
      <c r="G1175" s="6"/>
      <c r="H1175" s="6"/>
      <c r="I1175" s="6"/>
      <c r="J1175" s="6"/>
      <c r="K1175" s="6"/>
      <c r="L1175" s="6"/>
      <c r="M1175" s="6"/>
      <c r="N1175" s="6"/>
      <c r="O1175" s="6"/>
      <c r="P1175" s="32"/>
      <c r="Q1175" s="6"/>
      <c r="R1175" s="59"/>
      <c r="S1175" s="1"/>
      <c r="T1175" s="1"/>
      <c r="U1175" s="1"/>
    </row>
    <row r="1176" spans="1:21" ht="9.75" customHeight="1" x14ac:dyDescent="0.4">
      <c r="A1176" s="1"/>
      <c r="B1176" s="1"/>
      <c r="C1176" s="17"/>
      <c r="D1176" s="17" t="s">
        <v>374</v>
      </c>
      <c r="E1176" s="17"/>
      <c r="F1176" s="32"/>
      <c r="G1176" s="6"/>
      <c r="H1176" s="6"/>
      <c r="I1176" s="6"/>
      <c r="J1176" s="6"/>
      <c r="K1176" s="6"/>
      <c r="L1176" s="6"/>
      <c r="M1176" s="6"/>
      <c r="N1176" s="6"/>
      <c r="O1176" s="6"/>
      <c r="P1176" s="32"/>
      <c r="Q1176" s="6"/>
      <c r="R1176" s="59"/>
      <c r="S1176" s="1"/>
      <c r="T1176" s="1"/>
      <c r="U1176" s="1"/>
    </row>
    <row r="1177" spans="1:21" ht="9.75" customHeight="1" x14ac:dyDescent="0.4">
      <c r="A1177" s="1"/>
      <c r="B1177" s="1"/>
      <c r="C1177" s="17"/>
      <c r="D1177" s="17" t="s">
        <v>374</v>
      </c>
      <c r="E1177" s="17"/>
      <c r="F1177" s="32"/>
      <c r="G1177" s="6"/>
      <c r="H1177" s="6"/>
      <c r="I1177" s="6"/>
      <c r="J1177" s="6"/>
      <c r="K1177" s="6"/>
      <c r="L1177" s="6"/>
      <c r="M1177" s="6"/>
      <c r="N1177" s="6"/>
      <c r="O1177" s="6"/>
      <c r="P1177" s="32"/>
      <c r="Q1177" s="6"/>
      <c r="R1177" s="59"/>
      <c r="S1177" s="1"/>
      <c r="T1177" s="1"/>
      <c r="U1177" s="1"/>
    </row>
    <row r="1178" spans="1:21" ht="9.75" customHeight="1" x14ac:dyDescent="0.4">
      <c r="A1178" s="1"/>
      <c r="B1178" s="1"/>
      <c r="C1178" s="17"/>
      <c r="D1178" s="17" t="s">
        <v>374</v>
      </c>
      <c r="E1178" s="17"/>
      <c r="F1178" s="32"/>
      <c r="G1178" s="6"/>
      <c r="H1178" s="6"/>
      <c r="I1178" s="6"/>
      <c r="J1178" s="6"/>
      <c r="K1178" s="6"/>
      <c r="L1178" s="6"/>
      <c r="M1178" s="6"/>
      <c r="N1178" s="6"/>
      <c r="O1178" s="6"/>
      <c r="P1178" s="32"/>
      <c r="Q1178" s="6"/>
      <c r="R1178" s="59"/>
      <c r="S1178" s="1"/>
      <c r="T1178" s="1"/>
      <c r="U1178" s="1"/>
    </row>
    <row r="1179" spans="1:21" ht="9.75" customHeight="1" x14ac:dyDescent="0.4">
      <c r="A1179" s="1"/>
      <c r="B1179" s="1"/>
      <c r="C1179" s="17"/>
      <c r="D1179" s="17" t="s">
        <v>310</v>
      </c>
      <c r="E1179" s="17"/>
      <c r="F1179" s="32"/>
      <c r="G1179" s="6"/>
      <c r="H1179" s="6"/>
      <c r="I1179" s="6"/>
      <c r="J1179" s="6"/>
      <c r="K1179" s="6"/>
      <c r="L1179" s="6"/>
      <c r="M1179" s="6"/>
      <c r="N1179" s="6"/>
      <c r="O1179" s="6"/>
      <c r="P1179" s="32"/>
      <c r="Q1179" s="6"/>
      <c r="R1179" s="59"/>
      <c r="S1179" s="1"/>
      <c r="T1179" s="1"/>
      <c r="U1179" s="1"/>
    </row>
    <row r="1180" spans="1:21" ht="9.75" customHeight="1" x14ac:dyDescent="0.4">
      <c r="A1180" s="1"/>
      <c r="B1180" s="1"/>
      <c r="C1180" s="17"/>
      <c r="D1180" s="17" t="s">
        <v>311</v>
      </c>
      <c r="E1180" s="17"/>
      <c r="F1180" s="32"/>
      <c r="G1180" s="6"/>
      <c r="H1180" s="6"/>
      <c r="I1180" s="6"/>
      <c r="J1180" s="6"/>
      <c r="K1180" s="330"/>
      <c r="L1180" s="6"/>
      <c r="M1180" s="6"/>
      <c r="N1180" s="6"/>
      <c r="O1180" s="6"/>
      <c r="P1180" s="32"/>
      <c r="Q1180" s="6"/>
      <c r="R1180" s="59"/>
      <c r="S1180" s="1"/>
      <c r="T1180" s="1"/>
      <c r="U1180" s="1"/>
    </row>
    <row r="1181" spans="1:21" ht="9.75" customHeight="1" x14ac:dyDescent="0.4">
      <c r="A1181" s="1"/>
      <c r="B1181" s="1"/>
      <c r="C1181" s="17"/>
      <c r="D1181" s="17" t="s">
        <v>312</v>
      </c>
      <c r="E1181" s="17">
        <v>1</v>
      </c>
      <c r="F1181" s="32">
        <v>1</v>
      </c>
      <c r="G1181" s="6">
        <v>1</v>
      </c>
      <c r="H1181" s="6">
        <v>0</v>
      </c>
      <c r="I1181" s="6">
        <v>0</v>
      </c>
      <c r="J1181" s="6">
        <v>0</v>
      </c>
      <c r="K1181" s="330">
        <v>0</v>
      </c>
      <c r="L1181" s="6">
        <v>0</v>
      </c>
      <c r="M1181" s="6">
        <v>0</v>
      </c>
      <c r="N1181" s="6">
        <v>0</v>
      </c>
      <c r="O1181" s="6">
        <v>1</v>
      </c>
      <c r="P1181" s="32">
        <f t="shared" ref="P1181:P1183" si="183">MIN(F1181:O1181)</f>
        <v>0</v>
      </c>
      <c r="Q1181" s="6">
        <f t="shared" ref="Q1181:Q1183" si="184">E1181-P1181</f>
        <v>1</v>
      </c>
      <c r="R1181" s="59">
        <f t="shared" ref="R1181:R1183" si="185">Q1181/E1181</f>
        <v>1</v>
      </c>
      <c r="S1181" s="1"/>
      <c r="T1181" s="1"/>
      <c r="U1181" s="1"/>
    </row>
    <row r="1182" spans="1:21" ht="9.75" customHeight="1" x14ac:dyDescent="0.4">
      <c r="A1182" s="1"/>
      <c r="B1182" s="1"/>
      <c r="C1182" s="17"/>
      <c r="D1182" s="17" t="s">
        <v>313</v>
      </c>
      <c r="E1182" s="17">
        <v>1</v>
      </c>
      <c r="F1182" s="32">
        <v>0</v>
      </c>
      <c r="G1182" s="6">
        <v>1</v>
      </c>
      <c r="H1182" s="6">
        <v>0</v>
      </c>
      <c r="I1182" s="6">
        <v>0</v>
      </c>
      <c r="J1182" s="6">
        <v>0</v>
      </c>
      <c r="K1182" s="330">
        <v>0</v>
      </c>
      <c r="L1182" s="6">
        <v>0</v>
      </c>
      <c r="M1182" s="6">
        <v>0</v>
      </c>
      <c r="N1182" s="6">
        <v>0</v>
      </c>
      <c r="O1182" s="6">
        <v>0</v>
      </c>
      <c r="P1182" s="32">
        <f t="shared" si="183"/>
        <v>0</v>
      </c>
      <c r="Q1182" s="6">
        <f t="shared" si="184"/>
        <v>1</v>
      </c>
      <c r="R1182" s="59">
        <f t="shared" si="185"/>
        <v>1</v>
      </c>
      <c r="S1182" s="1"/>
      <c r="T1182" s="1"/>
      <c r="U1182" s="1"/>
    </row>
    <row r="1183" spans="1:21" ht="9.75" customHeight="1" x14ac:dyDescent="0.4">
      <c r="A1183" s="1"/>
      <c r="B1183" s="1" t="s">
        <v>395</v>
      </c>
      <c r="C1183" s="34"/>
      <c r="D1183" s="65" t="s">
        <v>314</v>
      </c>
      <c r="E1183" s="65">
        <f t="shared" ref="E1183:O1183" si="186">SUM(E1167:E1182)</f>
        <v>28</v>
      </c>
      <c r="F1183" s="104">
        <f t="shared" si="186"/>
        <v>20</v>
      </c>
      <c r="G1183" s="128">
        <f t="shared" si="186"/>
        <v>16</v>
      </c>
      <c r="H1183" s="128">
        <f t="shared" si="186"/>
        <v>12</v>
      </c>
      <c r="I1183" s="128">
        <f t="shared" si="186"/>
        <v>14</v>
      </c>
      <c r="J1183" s="128">
        <f t="shared" si="186"/>
        <v>14</v>
      </c>
      <c r="K1183" s="128">
        <f t="shared" si="186"/>
        <v>12</v>
      </c>
      <c r="L1183" s="128">
        <f t="shared" si="186"/>
        <v>12</v>
      </c>
      <c r="M1183" s="128">
        <f t="shared" si="186"/>
        <v>15</v>
      </c>
      <c r="N1183" s="128">
        <f t="shared" si="186"/>
        <v>16</v>
      </c>
      <c r="O1183" s="129">
        <f t="shared" si="186"/>
        <v>21</v>
      </c>
      <c r="P1183" s="104">
        <f t="shared" si="183"/>
        <v>12</v>
      </c>
      <c r="Q1183" s="128">
        <f t="shared" si="184"/>
        <v>16</v>
      </c>
      <c r="R1183" s="72">
        <f t="shared" si="185"/>
        <v>0.5714285714285714</v>
      </c>
      <c r="S1183" s="1"/>
      <c r="T1183" s="1"/>
      <c r="U1183" s="1"/>
    </row>
    <row r="1184" spans="1:21" ht="9.75" customHeight="1" x14ac:dyDescent="0.4">
      <c r="A1184" s="1"/>
      <c r="B1184" s="1"/>
      <c r="C1184" s="331" t="s">
        <v>118</v>
      </c>
      <c r="D1184" s="331" t="s">
        <v>300</v>
      </c>
      <c r="E1184" s="323"/>
      <c r="F1184" s="324"/>
      <c r="G1184" s="325"/>
      <c r="H1184" s="325"/>
      <c r="I1184" s="325"/>
      <c r="J1184" s="325"/>
      <c r="K1184" s="325"/>
      <c r="L1184" s="325"/>
      <c r="M1184" s="325"/>
      <c r="N1184" s="325"/>
      <c r="O1184" s="326"/>
      <c r="P1184" s="324"/>
      <c r="Q1184" s="325"/>
      <c r="R1184" s="332"/>
      <c r="S1184" s="1"/>
      <c r="T1184" s="1"/>
      <c r="U1184" s="1"/>
    </row>
    <row r="1185" spans="1:21" ht="9.75" customHeight="1" x14ac:dyDescent="0.4">
      <c r="A1185" s="1"/>
      <c r="B1185" s="1"/>
      <c r="C1185" s="323"/>
      <c r="D1185" s="323" t="s">
        <v>301</v>
      </c>
      <c r="E1185" s="323"/>
      <c r="F1185" s="324"/>
      <c r="G1185" s="325"/>
      <c r="H1185" s="325"/>
      <c r="I1185" s="325"/>
      <c r="J1185" s="325"/>
      <c r="K1185" s="325"/>
      <c r="L1185" s="325"/>
      <c r="M1185" s="325"/>
      <c r="N1185" s="325"/>
      <c r="O1185" s="326"/>
      <c r="P1185" s="324"/>
      <c r="Q1185" s="325"/>
      <c r="R1185" s="332"/>
      <c r="S1185" s="1"/>
      <c r="T1185" s="1"/>
      <c r="U1185" s="1"/>
    </row>
    <row r="1186" spans="1:21" ht="9.75" customHeight="1" x14ac:dyDescent="0.4">
      <c r="A1186" s="1"/>
      <c r="B1186" s="1"/>
      <c r="C1186" s="323"/>
      <c r="D1186" s="323" t="s">
        <v>303</v>
      </c>
      <c r="E1186" s="323"/>
      <c r="F1186" s="324"/>
      <c r="G1186" s="325"/>
      <c r="H1186" s="325"/>
      <c r="I1186" s="325"/>
      <c r="J1186" s="325"/>
      <c r="K1186" s="325"/>
      <c r="L1186" s="325"/>
      <c r="M1186" s="325"/>
      <c r="N1186" s="325"/>
      <c r="O1186" s="326"/>
      <c r="P1186" s="324"/>
      <c r="Q1186" s="325"/>
      <c r="R1186" s="332"/>
      <c r="S1186" s="1"/>
      <c r="T1186" s="1"/>
      <c r="U1186" s="1"/>
    </row>
    <row r="1187" spans="1:21" ht="9.75" customHeight="1" x14ac:dyDescent="0.4">
      <c r="A1187" s="1"/>
      <c r="B1187" s="1"/>
      <c r="C1187" s="323"/>
      <c r="D1187" s="323" t="s">
        <v>369</v>
      </c>
      <c r="E1187" s="323"/>
      <c r="F1187" s="324"/>
      <c r="G1187" s="325"/>
      <c r="H1187" s="325"/>
      <c r="I1187" s="325"/>
      <c r="J1187" s="325"/>
      <c r="K1187" s="325"/>
      <c r="L1187" s="325"/>
      <c r="M1187" s="325"/>
      <c r="N1187" s="325"/>
      <c r="O1187" s="326"/>
      <c r="P1187" s="324"/>
      <c r="Q1187" s="325"/>
      <c r="R1187" s="332"/>
      <c r="S1187" s="1"/>
      <c r="T1187" s="1"/>
      <c r="U1187" s="1"/>
    </row>
    <row r="1188" spans="1:21" ht="9.75" customHeight="1" x14ac:dyDescent="0.4">
      <c r="A1188" s="1"/>
      <c r="B1188" s="1"/>
      <c r="C1188" s="323"/>
      <c r="D1188" s="323" t="s">
        <v>369</v>
      </c>
      <c r="E1188" s="323"/>
      <c r="F1188" s="324"/>
      <c r="G1188" s="325"/>
      <c r="H1188" s="325"/>
      <c r="I1188" s="325"/>
      <c r="J1188" s="325"/>
      <c r="K1188" s="325"/>
      <c r="L1188" s="325"/>
      <c r="M1188" s="325"/>
      <c r="N1188" s="325"/>
      <c r="O1188" s="326"/>
      <c r="P1188" s="324"/>
      <c r="Q1188" s="325"/>
      <c r="R1188" s="332"/>
      <c r="S1188" s="1"/>
      <c r="T1188" s="1"/>
      <c r="U1188" s="1"/>
    </row>
    <row r="1189" spans="1:21" ht="9.75" customHeight="1" x14ac:dyDescent="0.4">
      <c r="A1189" s="1"/>
      <c r="B1189" s="1"/>
      <c r="C1189" s="323"/>
      <c r="D1189" s="323" t="s">
        <v>308</v>
      </c>
      <c r="E1189" s="323">
        <v>3</v>
      </c>
      <c r="F1189" s="324">
        <v>2</v>
      </c>
      <c r="G1189" s="325">
        <v>2</v>
      </c>
      <c r="H1189" s="325">
        <v>1</v>
      </c>
      <c r="I1189" s="325">
        <v>2</v>
      </c>
      <c r="J1189" s="325">
        <v>2</v>
      </c>
      <c r="K1189" s="327">
        <v>2</v>
      </c>
      <c r="L1189" s="327">
        <v>2</v>
      </c>
      <c r="M1189" s="327">
        <v>2</v>
      </c>
      <c r="N1189" s="327">
        <v>2</v>
      </c>
      <c r="O1189" s="328">
        <v>2</v>
      </c>
      <c r="P1189" s="324">
        <f t="shared" ref="P1189:P1190" si="187">MIN(F1189:O1189)</f>
        <v>1</v>
      </c>
      <c r="Q1189" s="325">
        <f t="shared" ref="Q1189:Q1190" si="188">E1189-P1189</f>
        <v>2</v>
      </c>
      <c r="R1189" s="332">
        <f t="shared" ref="R1189:R1190" si="189">Q1189/E1189</f>
        <v>0.66666666666666663</v>
      </c>
      <c r="S1189" s="1"/>
      <c r="T1189" s="1"/>
      <c r="U1189" s="1"/>
    </row>
    <row r="1190" spans="1:21" ht="9.75" customHeight="1" x14ac:dyDescent="0.4">
      <c r="A1190" s="1"/>
      <c r="B1190" s="1"/>
      <c r="C1190" s="323"/>
      <c r="D1190" s="323" t="s">
        <v>445</v>
      </c>
      <c r="E1190" s="323">
        <v>2</v>
      </c>
      <c r="F1190" s="324">
        <v>2</v>
      </c>
      <c r="G1190" s="325">
        <v>2</v>
      </c>
      <c r="H1190" s="325">
        <v>2</v>
      </c>
      <c r="I1190" s="325">
        <v>2</v>
      </c>
      <c r="J1190" s="325">
        <v>2</v>
      </c>
      <c r="K1190" s="327">
        <v>2</v>
      </c>
      <c r="L1190" s="327">
        <v>2</v>
      </c>
      <c r="M1190" s="327">
        <v>2</v>
      </c>
      <c r="N1190" s="327">
        <v>2</v>
      </c>
      <c r="O1190" s="328">
        <v>2</v>
      </c>
      <c r="P1190" s="324">
        <f t="shared" si="187"/>
        <v>2</v>
      </c>
      <c r="Q1190" s="325">
        <f t="shared" si="188"/>
        <v>0</v>
      </c>
      <c r="R1190" s="332">
        <f t="shared" si="189"/>
        <v>0</v>
      </c>
      <c r="S1190" s="1"/>
      <c r="T1190" s="1"/>
      <c r="U1190" s="1"/>
    </row>
    <row r="1191" spans="1:21" ht="9.75" customHeight="1" x14ac:dyDescent="0.4">
      <c r="A1191" s="1"/>
      <c r="B1191" s="1"/>
      <c r="C1191" s="323"/>
      <c r="D1191" s="323" t="s">
        <v>374</v>
      </c>
      <c r="E1191" s="323"/>
      <c r="F1191" s="324"/>
      <c r="G1191" s="325"/>
      <c r="H1191" s="325"/>
      <c r="I1191" s="325"/>
      <c r="J1191" s="325"/>
      <c r="K1191" s="333"/>
      <c r="L1191" s="333"/>
      <c r="M1191" s="333"/>
      <c r="N1191" s="333"/>
      <c r="O1191" s="334"/>
      <c r="P1191" s="324"/>
      <c r="Q1191" s="325"/>
      <c r="R1191" s="332"/>
      <c r="S1191" s="1"/>
      <c r="T1191" s="1"/>
      <c r="U1191" s="1"/>
    </row>
    <row r="1192" spans="1:21" ht="9.75" customHeight="1" x14ac:dyDescent="0.4">
      <c r="A1192" s="1"/>
      <c r="B1192" s="1"/>
      <c r="C1192" s="323"/>
      <c r="D1192" s="323" t="s">
        <v>374</v>
      </c>
      <c r="E1192" s="323"/>
      <c r="F1192" s="324"/>
      <c r="G1192" s="325"/>
      <c r="H1192" s="325"/>
      <c r="I1192" s="325"/>
      <c r="J1192" s="325"/>
      <c r="K1192" s="333"/>
      <c r="L1192" s="333"/>
      <c r="M1192" s="333"/>
      <c r="N1192" s="333"/>
      <c r="O1192" s="334"/>
      <c r="P1192" s="324"/>
      <c r="Q1192" s="325"/>
      <c r="R1192" s="332"/>
      <c r="S1192" s="1"/>
      <c r="T1192" s="1"/>
      <c r="U1192" s="1"/>
    </row>
    <row r="1193" spans="1:21" ht="9.75" customHeight="1" x14ac:dyDescent="0.4">
      <c r="A1193" s="1"/>
      <c r="B1193" s="1"/>
      <c r="C1193" s="323"/>
      <c r="D1193" s="323" t="s">
        <v>374</v>
      </c>
      <c r="E1193" s="323"/>
      <c r="F1193" s="324"/>
      <c r="G1193" s="325"/>
      <c r="H1193" s="325"/>
      <c r="I1193" s="325"/>
      <c r="J1193" s="325"/>
      <c r="K1193" s="333"/>
      <c r="L1193" s="333"/>
      <c r="M1193" s="333"/>
      <c r="N1193" s="333"/>
      <c r="O1193" s="334"/>
      <c r="P1193" s="324"/>
      <c r="Q1193" s="325"/>
      <c r="R1193" s="332"/>
      <c r="S1193" s="1"/>
      <c r="T1193" s="1"/>
      <c r="U1193" s="1"/>
    </row>
    <row r="1194" spans="1:21" ht="9.75" customHeight="1" x14ac:dyDescent="0.4">
      <c r="A1194" s="1"/>
      <c r="B1194" s="1"/>
      <c r="C1194" s="323"/>
      <c r="D1194" s="323" t="s">
        <v>374</v>
      </c>
      <c r="E1194" s="323"/>
      <c r="F1194" s="324"/>
      <c r="G1194" s="325"/>
      <c r="H1194" s="325"/>
      <c r="I1194" s="325"/>
      <c r="J1194" s="325"/>
      <c r="K1194" s="333"/>
      <c r="L1194" s="333"/>
      <c r="M1194" s="333"/>
      <c r="N1194" s="333"/>
      <c r="O1194" s="334"/>
      <c r="P1194" s="324"/>
      <c r="Q1194" s="325"/>
      <c r="R1194" s="332"/>
      <c r="S1194" s="1"/>
      <c r="T1194" s="1"/>
      <c r="U1194" s="1"/>
    </row>
    <row r="1195" spans="1:21" ht="9.75" customHeight="1" x14ac:dyDescent="0.4">
      <c r="A1195" s="1"/>
      <c r="B1195" s="1"/>
      <c r="C1195" s="323"/>
      <c r="D1195" s="323" t="s">
        <v>374</v>
      </c>
      <c r="E1195" s="323"/>
      <c r="F1195" s="324"/>
      <c r="G1195" s="325"/>
      <c r="H1195" s="325"/>
      <c r="I1195" s="325"/>
      <c r="J1195" s="325"/>
      <c r="K1195" s="333"/>
      <c r="L1195" s="333"/>
      <c r="M1195" s="333"/>
      <c r="N1195" s="333"/>
      <c r="O1195" s="334"/>
      <c r="P1195" s="324"/>
      <c r="Q1195" s="325"/>
      <c r="R1195" s="332"/>
      <c r="S1195" s="1"/>
      <c r="T1195" s="1"/>
      <c r="U1195" s="1"/>
    </row>
    <row r="1196" spans="1:21" ht="9.75" customHeight="1" x14ac:dyDescent="0.4">
      <c r="A1196" s="1"/>
      <c r="B1196" s="1"/>
      <c r="C1196" s="323"/>
      <c r="D1196" s="323" t="s">
        <v>310</v>
      </c>
      <c r="E1196" s="323">
        <v>1</v>
      </c>
      <c r="F1196" s="324">
        <v>1</v>
      </c>
      <c r="G1196" s="325">
        <v>1</v>
      </c>
      <c r="H1196" s="325">
        <v>1</v>
      </c>
      <c r="I1196" s="325">
        <v>0</v>
      </c>
      <c r="J1196" s="325">
        <v>0</v>
      </c>
      <c r="K1196" s="327">
        <v>1</v>
      </c>
      <c r="L1196" s="327">
        <v>1</v>
      </c>
      <c r="M1196" s="327">
        <v>1</v>
      </c>
      <c r="N1196" s="327">
        <v>0</v>
      </c>
      <c r="O1196" s="328">
        <v>0</v>
      </c>
      <c r="P1196" s="32">
        <f t="shared" ref="P1196:P1200" si="190">MIN(F1196:O1196)</f>
        <v>0</v>
      </c>
      <c r="Q1196" s="6">
        <f t="shared" ref="Q1196:Q1200" si="191">E1196-P1196</f>
        <v>1</v>
      </c>
      <c r="R1196" s="59">
        <f t="shared" ref="R1196:R1200" si="192">Q1196/E1196</f>
        <v>1</v>
      </c>
      <c r="S1196" s="1"/>
      <c r="T1196" s="1"/>
      <c r="U1196" s="1"/>
    </row>
    <row r="1197" spans="1:21" ht="9.75" customHeight="1" x14ac:dyDescent="0.4">
      <c r="A1197" s="1"/>
      <c r="B1197" s="1"/>
      <c r="C1197" s="323"/>
      <c r="D1197" s="323" t="s">
        <v>311</v>
      </c>
      <c r="E1197" s="323">
        <v>2</v>
      </c>
      <c r="F1197" s="324">
        <v>2</v>
      </c>
      <c r="G1197" s="325">
        <v>2</v>
      </c>
      <c r="H1197" s="325">
        <v>1</v>
      </c>
      <c r="I1197" s="325">
        <v>2</v>
      </c>
      <c r="J1197" s="325">
        <v>2</v>
      </c>
      <c r="K1197" s="327">
        <v>1</v>
      </c>
      <c r="L1197" s="327">
        <v>0</v>
      </c>
      <c r="M1197" s="327">
        <v>0</v>
      </c>
      <c r="N1197" s="327">
        <v>0</v>
      </c>
      <c r="O1197" s="328">
        <v>0</v>
      </c>
      <c r="P1197" s="324">
        <f t="shared" si="190"/>
        <v>0</v>
      </c>
      <c r="Q1197" s="325">
        <f t="shared" si="191"/>
        <v>2</v>
      </c>
      <c r="R1197" s="332">
        <f t="shared" si="192"/>
        <v>1</v>
      </c>
      <c r="S1197" s="1"/>
      <c r="T1197" s="1"/>
      <c r="U1197" s="1"/>
    </row>
    <row r="1198" spans="1:21" ht="9.75" customHeight="1" x14ac:dyDescent="0.4">
      <c r="A1198" s="1"/>
      <c r="B1198" s="1"/>
      <c r="C1198" s="323"/>
      <c r="D1198" s="323" t="s">
        <v>312</v>
      </c>
      <c r="E1198" s="323">
        <v>2</v>
      </c>
      <c r="F1198" s="324">
        <v>2</v>
      </c>
      <c r="G1198" s="325">
        <v>2</v>
      </c>
      <c r="H1198" s="325">
        <v>1</v>
      </c>
      <c r="I1198" s="325">
        <v>0</v>
      </c>
      <c r="J1198" s="325">
        <v>0</v>
      </c>
      <c r="K1198" s="327">
        <v>1</v>
      </c>
      <c r="L1198" s="327">
        <v>0</v>
      </c>
      <c r="M1198" s="327">
        <v>0</v>
      </c>
      <c r="N1198" s="327">
        <v>0</v>
      </c>
      <c r="O1198" s="328">
        <v>0</v>
      </c>
      <c r="P1198" s="324">
        <f t="shared" si="190"/>
        <v>0</v>
      </c>
      <c r="Q1198" s="325">
        <f t="shared" si="191"/>
        <v>2</v>
      </c>
      <c r="R1198" s="332">
        <f t="shared" si="192"/>
        <v>1</v>
      </c>
      <c r="S1198" s="1"/>
      <c r="T1198" s="1"/>
      <c r="U1198" s="1"/>
    </row>
    <row r="1199" spans="1:21" ht="9.75" customHeight="1" x14ac:dyDescent="0.4">
      <c r="A1199" s="1"/>
      <c r="B1199" s="1"/>
      <c r="C1199" s="323"/>
      <c r="D1199" s="323" t="s">
        <v>313</v>
      </c>
      <c r="E1199" s="323">
        <v>2</v>
      </c>
      <c r="F1199" s="324">
        <v>2</v>
      </c>
      <c r="G1199" s="325">
        <v>2</v>
      </c>
      <c r="H1199" s="325">
        <v>1</v>
      </c>
      <c r="I1199" s="325">
        <v>1</v>
      </c>
      <c r="J1199" s="325">
        <v>1</v>
      </c>
      <c r="K1199" s="327">
        <v>1</v>
      </c>
      <c r="L1199" s="327">
        <v>1</v>
      </c>
      <c r="M1199" s="327">
        <v>1</v>
      </c>
      <c r="N1199" s="327">
        <v>1</v>
      </c>
      <c r="O1199" s="328">
        <v>1</v>
      </c>
      <c r="P1199" s="324">
        <f t="shared" si="190"/>
        <v>1</v>
      </c>
      <c r="Q1199" s="325">
        <f t="shared" si="191"/>
        <v>1</v>
      </c>
      <c r="R1199" s="332">
        <f t="shared" si="192"/>
        <v>0.5</v>
      </c>
      <c r="S1199" s="1"/>
      <c r="T1199" s="1"/>
      <c r="U1199" s="1"/>
    </row>
    <row r="1200" spans="1:21" ht="9.75" customHeight="1" x14ac:dyDescent="0.4">
      <c r="A1200" s="1"/>
      <c r="B1200" s="1" t="s">
        <v>395</v>
      </c>
      <c r="C1200" s="335"/>
      <c r="D1200" s="65" t="s">
        <v>314</v>
      </c>
      <c r="E1200" s="65">
        <f t="shared" ref="E1200:O1200" si="193">SUM(E1184:E1199)</f>
        <v>12</v>
      </c>
      <c r="F1200" s="104">
        <f t="shared" si="193"/>
        <v>11</v>
      </c>
      <c r="G1200" s="128">
        <f t="shared" si="193"/>
        <v>11</v>
      </c>
      <c r="H1200" s="128">
        <f t="shared" si="193"/>
        <v>7</v>
      </c>
      <c r="I1200" s="128">
        <f t="shared" si="193"/>
        <v>7</v>
      </c>
      <c r="J1200" s="128">
        <f t="shared" si="193"/>
        <v>7</v>
      </c>
      <c r="K1200" s="71">
        <f t="shared" si="193"/>
        <v>8</v>
      </c>
      <c r="L1200" s="71">
        <f t="shared" si="193"/>
        <v>6</v>
      </c>
      <c r="M1200" s="71">
        <f t="shared" si="193"/>
        <v>6</v>
      </c>
      <c r="N1200" s="71">
        <f t="shared" si="193"/>
        <v>5</v>
      </c>
      <c r="O1200" s="157">
        <f t="shared" si="193"/>
        <v>5</v>
      </c>
      <c r="P1200" s="104">
        <f t="shared" si="190"/>
        <v>5</v>
      </c>
      <c r="Q1200" s="128">
        <f t="shared" si="191"/>
        <v>7</v>
      </c>
      <c r="R1200" s="72">
        <f t="shared" si="192"/>
        <v>0.58333333333333337</v>
      </c>
      <c r="S1200" s="1"/>
      <c r="T1200" s="1"/>
      <c r="U1200" s="1"/>
    </row>
    <row r="1201" spans="1:21" ht="9.75" customHeight="1" x14ac:dyDescent="0.4">
      <c r="A1201" s="1"/>
      <c r="B1201" s="1"/>
      <c r="C1201" s="15" t="s">
        <v>135</v>
      </c>
      <c r="D1201" s="15" t="s">
        <v>300</v>
      </c>
      <c r="E1201" s="17"/>
      <c r="F1201" s="32"/>
      <c r="G1201" s="6"/>
      <c r="H1201" s="6"/>
      <c r="I1201" s="6"/>
      <c r="J1201" s="6"/>
      <c r="K1201" s="79"/>
      <c r="L1201" s="79"/>
      <c r="M1201" s="79"/>
      <c r="N1201" s="79"/>
      <c r="O1201" s="122"/>
      <c r="P1201" s="32"/>
      <c r="Q1201" s="6"/>
      <c r="R1201" s="59"/>
      <c r="S1201" s="1"/>
      <c r="T1201" s="1"/>
      <c r="U1201" s="1"/>
    </row>
    <row r="1202" spans="1:21" ht="9.75" customHeight="1" x14ac:dyDescent="0.4">
      <c r="A1202" s="1"/>
      <c r="B1202" s="1"/>
      <c r="C1202" s="17"/>
      <c r="D1202" s="17" t="s">
        <v>301</v>
      </c>
      <c r="E1202" s="17"/>
      <c r="F1202" s="32"/>
      <c r="G1202" s="6"/>
      <c r="H1202" s="6"/>
      <c r="I1202" s="6"/>
      <c r="J1202" s="6"/>
      <c r="K1202" s="192"/>
      <c r="L1202" s="192"/>
      <c r="M1202" s="192"/>
      <c r="N1202" s="192"/>
      <c r="O1202" s="193"/>
      <c r="P1202" s="32"/>
      <c r="Q1202" s="6"/>
      <c r="R1202" s="59"/>
      <c r="S1202" s="1"/>
      <c r="T1202" s="1"/>
      <c r="U1202" s="1"/>
    </row>
    <row r="1203" spans="1:21" ht="9.75" customHeight="1" x14ac:dyDescent="0.4">
      <c r="A1203" s="1"/>
      <c r="B1203" s="1"/>
      <c r="C1203" s="17"/>
      <c r="D1203" s="17" t="s">
        <v>303</v>
      </c>
      <c r="E1203" s="17"/>
      <c r="F1203" s="32"/>
      <c r="G1203" s="6"/>
      <c r="H1203" s="6"/>
      <c r="I1203" s="6"/>
      <c r="J1203" s="6"/>
      <c r="K1203" s="192"/>
      <c r="L1203" s="192"/>
      <c r="M1203" s="192"/>
      <c r="N1203" s="192"/>
      <c r="O1203" s="193"/>
      <c r="P1203" s="32"/>
      <c r="Q1203" s="6"/>
      <c r="R1203" s="59"/>
      <c r="S1203" s="1"/>
      <c r="T1203" s="1"/>
      <c r="U1203" s="1"/>
    </row>
    <row r="1204" spans="1:21" ht="9.75" customHeight="1" x14ac:dyDescent="0.4">
      <c r="A1204" s="1"/>
      <c r="B1204" s="1"/>
      <c r="C1204" s="17"/>
      <c r="D1204" s="17" t="s">
        <v>421</v>
      </c>
      <c r="E1204" s="17"/>
      <c r="F1204" s="32"/>
      <c r="G1204" s="6"/>
      <c r="H1204" s="6"/>
      <c r="I1204" s="6"/>
      <c r="J1204" s="6"/>
      <c r="K1204" s="74"/>
      <c r="L1204" s="74"/>
      <c r="M1204" s="74"/>
      <c r="N1204" s="74"/>
      <c r="O1204" s="123"/>
      <c r="P1204" s="32"/>
      <c r="Q1204" s="6"/>
      <c r="R1204" s="59"/>
      <c r="S1204" s="1"/>
      <c r="T1204" s="1"/>
      <c r="U1204" s="1"/>
    </row>
    <row r="1205" spans="1:21" ht="9.75" customHeight="1" x14ac:dyDescent="0.4">
      <c r="A1205" s="1"/>
      <c r="B1205" s="1"/>
      <c r="C1205" s="17"/>
      <c r="D1205" s="17" t="s">
        <v>369</v>
      </c>
      <c r="E1205" s="17"/>
      <c r="F1205" s="32"/>
      <c r="G1205" s="6"/>
      <c r="H1205" s="6"/>
      <c r="I1205" s="6"/>
      <c r="J1205" s="6"/>
      <c r="K1205" s="74"/>
      <c r="L1205" s="74"/>
      <c r="M1205" s="74"/>
      <c r="N1205" s="74"/>
      <c r="O1205" s="123"/>
      <c r="P1205" s="32"/>
      <c r="Q1205" s="6"/>
      <c r="R1205" s="59"/>
      <c r="S1205" s="1"/>
      <c r="T1205" s="1"/>
      <c r="U1205" s="1"/>
    </row>
    <row r="1206" spans="1:21" ht="9.75" customHeight="1" x14ac:dyDescent="0.4">
      <c r="A1206" s="1"/>
      <c r="B1206" s="1"/>
      <c r="C1206" s="17"/>
      <c r="D1206" s="17" t="s">
        <v>308</v>
      </c>
      <c r="E1206" s="17">
        <v>23</v>
      </c>
      <c r="F1206" s="32">
        <v>18</v>
      </c>
      <c r="G1206" s="6">
        <v>15</v>
      </c>
      <c r="H1206" s="6">
        <v>12</v>
      </c>
      <c r="I1206" s="6">
        <v>15</v>
      </c>
      <c r="J1206" s="6">
        <v>13</v>
      </c>
      <c r="K1206" s="74">
        <v>12</v>
      </c>
      <c r="L1206" s="74">
        <v>11</v>
      </c>
      <c r="M1206" s="74">
        <v>12</v>
      </c>
      <c r="N1206" s="74">
        <v>14</v>
      </c>
      <c r="O1206" s="123">
        <v>13</v>
      </c>
      <c r="P1206" s="32">
        <f>MIN(F1206:O1206)</f>
        <v>11</v>
      </c>
      <c r="Q1206" s="6">
        <f>E1206-P1206</f>
        <v>12</v>
      </c>
      <c r="R1206" s="59">
        <f>Q1206/E1206</f>
        <v>0.52173913043478259</v>
      </c>
      <c r="S1206" s="1"/>
      <c r="T1206" s="1"/>
      <c r="U1206" s="1"/>
    </row>
    <row r="1207" spans="1:21" ht="9.75" customHeight="1" x14ac:dyDescent="0.4">
      <c r="A1207" s="1"/>
      <c r="B1207" s="1"/>
      <c r="C1207" s="17"/>
      <c r="D1207" s="17" t="s">
        <v>377</v>
      </c>
      <c r="E1207" s="17"/>
      <c r="F1207" s="32"/>
      <c r="G1207" s="6"/>
      <c r="H1207" s="6"/>
      <c r="I1207" s="6"/>
      <c r="J1207" s="6"/>
      <c r="K1207" s="192"/>
      <c r="L1207" s="192"/>
      <c r="M1207" s="192"/>
      <c r="N1207" s="192"/>
      <c r="O1207" s="193"/>
      <c r="P1207" s="32"/>
      <c r="Q1207" s="6"/>
      <c r="R1207" s="59"/>
      <c r="S1207" s="1"/>
      <c r="T1207" s="1"/>
      <c r="U1207" s="1"/>
    </row>
    <row r="1208" spans="1:21" ht="9.75" customHeight="1" x14ac:dyDescent="0.4">
      <c r="A1208" s="1"/>
      <c r="B1208" s="1"/>
      <c r="C1208" s="17"/>
      <c r="D1208" s="17" t="s">
        <v>377</v>
      </c>
      <c r="E1208" s="17"/>
      <c r="F1208" s="32"/>
      <c r="G1208" s="6"/>
      <c r="H1208" s="6"/>
      <c r="I1208" s="6"/>
      <c r="J1208" s="6"/>
      <c r="K1208" s="74"/>
      <c r="L1208" s="74"/>
      <c r="M1208" s="74"/>
      <c r="N1208" s="74"/>
      <c r="O1208" s="123"/>
      <c r="P1208" s="32"/>
      <c r="Q1208" s="6"/>
      <c r="R1208" s="59"/>
      <c r="S1208" s="1"/>
      <c r="T1208" s="1"/>
      <c r="U1208" s="1"/>
    </row>
    <row r="1209" spans="1:21" ht="9.75" customHeight="1" x14ac:dyDescent="0.4">
      <c r="A1209" s="1"/>
      <c r="B1209" s="1"/>
      <c r="C1209" s="17"/>
      <c r="D1209" s="17" t="s">
        <v>374</v>
      </c>
      <c r="E1209" s="17"/>
      <c r="F1209" s="32"/>
      <c r="G1209" s="6"/>
      <c r="H1209" s="6"/>
      <c r="I1209" s="6"/>
      <c r="J1209" s="6"/>
      <c r="K1209" s="192"/>
      <c r="L1209" s="192"/>
      <c r="M1209" s="192"/>
      <c r="N1209" s="192"/>
      <c r="O1209" s="193"/>
      <c r="P1209" s="32"/>
      <c r="Q1209" s="6"/>
      <c r="R1209" s="59"/>
      <c r="S1209" s="1"/>
      <c r="T1209" s="1"/>
      <c r="U1209" s="1"/>
    </row>
    <row r="1210" spans="1:21" ht="9.75" customHeight="1" x14ac:dyDescent="0.4">
      <c r="A1210" s="1"/>
      <c r="B1210" s="1"/>
      <c r="C1210" s="17"/>
      <c r="D1210" s="17" t="s">
        <v>374</v>
      </c>
      <c r="E1210" s="17"/>
      <c r="F1210" s="32"/>
      <c r="G1210" s="6"/>
      <c r="H1210" s="6"/>
      <c r="I1210" s="6"/>
      <c r="J1210" s="6"/>
      <c r="K1210" s="192"/>
      <c r="L1210" s="192"/>
      <c r="M1210" s="192"/>
      <c r="N1210" s="192"/>
      <c r="O1210" s="193"/>
      <c r="P1210" s="32"/>
      <c r="Q1210" s="6"/>
      <c r="R1210" s="59"/>
      <c r="S1210" s="1"/>
      <c r="T1210" s="1"/>
      <c r="U1210" s="1"/>
    </row>
    <row r="1211" spans="1:21" ht="9.75" customHeight="1" x14ac:dyDescent="0.4">
      <c r="A1211" s="1"/>
      <c r="B1211" s="1"/>
      <c r="C1211" s="17"/>
      <c r="D1211" s="17" t="s">
        <v>374</v>
      </c>
      <c r="E1211" s="17"/>
      <c r="F1211" s="32"/>
      <c r="G1211" s="6"/>
      <c r="H1211" s="6"/>
      <c r="I1211" s="6"/>
      <c r="J1211" s="6"/>
      <c r="K1211" s="192"/>
      <c r="L1211" s="192"/>
      <c r="M1211" s="192"/>
      <c r="N1211" s="192"/>
      <c r="O1211" s="193"/>
      <c r="P1211" s="32"/>
      <c r="Q1211" s="6"/>
      <c r="R1211" s="59"/>
      <c r="S1211" s="1"/>
      <c r="T1211" s="1"/>
      <c r="U1211" s="1"/>
    </row>
    <row r="1212" spans="1:21" ht="9.75" customHeight="1" x14ac:dyDescent="0.4">
      <c r="A1212" s="1"/>
      <c r="B1212" s="1"/>
      <c r="C1212" s="17"/>
      <c r="D1212" s="17" t="s">
        <v>374</v>
      </c>
      <c r="E1212" s="17"/>
      <c r="F1212" s="32"/>
      <c r="G1212" s="6"/>
      <c r="H1212" s="6"/>
      <c r="I1212" s="6"/>
      <c r="J1212" s="6"/>
      <c r="K1212" s="192"/>
      <c r="L1212" s="192"/>
      <c r="M1212" s="192"/>
      <c r="N1212" s="192"/>
      <c r="O1212" s="193"/>
      <c r="P1212" s="32"/>
      <c r="Q1212" s="6"/>
      <c r="R1212" s="59"/>
      <c r="S1212" s="1"/>
      <c r="T1212" s="1"/>
      <c r="U1212" s="1"/>
    </row>
    <row r="1213" spans="1:21" ht="9.75" customHeight="1" x14ac:dyDescent="0.4">
      <c r="A1213" s="1"/>
      <c r="B1213" s="1"/>
      <c r="C1213" s="17"/>
      <c r="D1213" s="17" t="s">
        <v>310</v>
      </c>
      <c r="E1213" s="17">
        <v>12</v>
      </c>
      <c r="F1213" s="32">
        <v>9</v>
      </c>
      <c r="G1213" s="6">
        <v>6</v>
      </c>
      <c r="H1213" s="6">
        <v>1</v>
      </c>
      <c r="I1213" s="6">
        <v>1</v>
      </c>
      <c r="J1213" s="6">
        <v>3</v>
      </c>
      <c r="K1213" s="74">
        <v>4</v>
      </c>
      <c r="L1213" s="74">
        <v>2</v>
      </c>
      <c r="M1213" s="74">
        <v>3</v>
      </c>
      <c r="N1213" s="74">
        <v>4</v>
      </c>
      <c r="O1213" s="123">
        <v>7</v>
      </c>
      <c r="P1213" s="32">
        <f>MIN(F1213:O1213)</f>
        <v>1</v>
      </c>
      <c r="Q1213" s="6">
        <f>E1213-P1213</f>
        <v>11</v>
      </c>
      <c r="R1213" s="59">
        <f>Q1213/E1213</f>
        <v>0.91666666666666663</v>
      </c>
      <c r="S1213" s="1"/>
      <c r="T1213" s="1"/>
      <c r="U1213" s="1"/>
    </row>
    <row r="1214" spans="1:21" ht="9.75" customHeight="1" x14ac:dyDescent="0.4">
      <c r="A1214" s="1"/>
      <c r="B1214" s="1"/>
      <c r="C1214" s="17"/>
      <c r="D1214" s="17" t="s">
        <v>311</v>
      </c>
      <c r="E1214" s="17"/>
      <c r="F1214" s="32"/>
      <c r="G1214" s="6"/>
      <c r="H1214" s="6"/>
      <c r="I1214" s="6"/>
      <c r="J1214" s="6"/>
      <c r="K1214" s="74"/>
      <c r="L1214" s="74"/>
      <c r="M1214" s="74"/>
      <c r="N1214" s="74"/>
      <c r="O1214" s="123"/>
      <c r="P1214" s="32"/>
      <c r="Q1214" s="6"/>
      <c r="R1214" s="59"/>
      <c r="S1214" s="1"/>
      <c r="T1214" s="1"/>
      <c r="U1214" s="1"/>
    </row>
    <row r="1215" spans="1:21" ht="9.75" customHeight="1" x14ac:dyDescent="0.4">
      <c r="A1215" s="1"/>
      <c r="B1215" s="1"/>
      <c r="C1215" s="17"/>
      <c r="D1215" s="17" t="s">
        <v>312</v>
      </c>
      <c r="E1215" s="17"/>
      <c r="F1215" s="32"/>
      <c r="G1215" s="6"/>
      <c r="H1215" s="6"/>
      <c r="I1215" s="6"/>
      <c r="J1215" s="6"/>
      <c r="K1215" s="6"/>
      <c r="L1215" s="6"/>
      <c r="M1215" s="6"/>
      <c r="N1215" s="6"/>
      <c r="O1215" s="31"/>
      <c r="P1215" s="32"/>
      <c r="Q1215" s="6"/>
      <c r="R1215" s="59"/>
      <c r="S1215" s="1"/>
      <c r="T1215" s="1"/>
      <c r="U1215" s="1"/>
    </row>
    <row r="1216" spans="1:21" ht="9.75" customHeight="1" x14ac:dyDescent="0.4">
      <c r="A1216" s="1"/>
      <c r="B1216" s="1"/>
      <c r="C1216" s="17"/>
      <c r="D1216" s="17" t="s">
        <v>313</v>
      </c>
      <c r="E1216" s="17">
        <v>1</v>
      </c>
      <c r="F1216" s="32">
        <v>0</v>
      </c>
      <c r="G1216" s="6">
        <v>2</v>
      </c>
      <c r="H1216" s="6">
        <v>2</v>
      </c>
      <c r="I1216" s="6">
        <v>3</v>
      </c>
      <c r="J1216" s="6">
        <v>3</v>
      </c>
      <c r="K1216" s="6">
        <v>3</v>
      </c>
      <c r="L1216" s="6">
        <v>3</v>
      </c>
      <c r="M1216" s="6">
        <v>2</v>
      </c>
      <c r="N1216" s="6">
        <v>3</v>
      </c>
      <c r="O1216" s="31">
        <v>3</v>
      </c>
      <c r="P1216" s="32">
        <f t="shared" ref="P1216:P1217" si="194">MIN(F1216:O1216)</f>
        <v>0</v>
      </c>
      <c r="Q1216" s="6">
        <f t="shared" ref="Q1216:Q1217" si="195">E1216-P1216</f>
        <v>1</v>
      </c>
      <c r="R1216" s="59">
        <f t="shared" ref="R1216:R1217" si="196">Q1216/E1216</f>
        <v>1</v>
      </c>
      <c r="S1216" s="1"/>
      <c r="T1216" s="1"/>
      <c r="U1216" s="1"/>
    </row>
    <row r="1217" spans="1:21" ht="9.75" customHeight="1" x14ac:dyDescent="0.4">
      <c r="A1217" s="1"/>
      <c r="B1217" s="1" t="s">
        <v>395</v>
      </c>
      <c r="C1217" s="34"/>
      <c r="D1217" s="65" t="s">
        <v>314</v>
      </c>
      <c r="E1217" s="65">
        <f t="shared" ref="E1217:O1217" si="197">SUM(E1201:E1216)</f>
        <v>36</v>
      </c>
      <c r="F1217" s="104">
        <f t="shared" si="197"/>
        <v>27</v>
      </c>
      <c r="G1217" s="128">
        <f t="shared" si="197"/>
        <v>23</v>
      </c>
      <c r="H1217" s="128">
        <f t="shared" si="197"/>
        <v>15</v>
      </c>
      <c r="I1217" s="128">
        <f t="shared" si="197"/>
        <v>19</v>
      </c>
      <c r="J1217" s="128">
        <f t="shared" si="197"/>
        <v>19</v>
      </c>
      <c r="K1217" s="71">
        <f t="shared" si="197"/>
        <v>19</v>
      </c>
      <c r="L1217" s="71">
        <f t="shared" si="197"/>
        <v>16</v>
      </c>
      <c r="M1217" s="71">
        <f t="shared" si="197"/>
        <v>17</v>
      </c>
      <c r="N1217" s="71">
        <f t="shared" si="197"/>
        <v>21</v>
      </c>
      <c r="O1217" s="157">
        <f t="shared" si="197"/>
        <v>23</v>
      </c>
      <c r="P1217" s="104">
        <f t="shared" si="194"/>
        <v>15</v>
      </c>
      <c r="Q1217" s="128">
        <f t="shared" si="195"/>
        <v>21</v>
      </c>
      <c r="R1217" s="72">
        <f t="shared" si="196"/>
        <v>0.58333333333333337</v>
      </c>
      <c r="S1217" s="1"/>
      <c r="T1217" s="1"/>
      <c r="U1217" s="1"/>
    </row>
    <row r="1218" spans="1:21" ht="9.75" customHeight="1" x14ac:dyDescent="0.4">
      <c r="A1218" s="1"/>
      <c r="B1218" s="1"/>
      <c r="C1218" s="15" t="s">
        <v>151</v>
      </c>
      <c r="D1218" s="15" t="s">
        <v>300</v>
      </c>
      <c r="E1218" s="17"/>
      <c r="F1218" s="32"/>
      <c r="G1218" s="6"/>
      <c r="H1218" s="6"/>
      <c r="I1218" s="6"/>
      <c r="J1218" s="6"/>
      <c r="K1218" s="6"/>
      <c r="L1218" s="6"/>
      <c r="M1218" s="6"/>
      <c r="N1218" s="6"/>
      <c r="O1218" s="31"/>
      <c r="P1218" s="32"/>
      <c r="Q1218" s="6"/>
      <c r="R1218" s="59"/>
      <c r="S1218" s="1"/>
      <c r="T1218" s="1"/>
      <c r="U1218" s="1"/>
    </row>
    <row r="1219" spans="1:21" ht="9.75" customHeight="1" x14ac:dyDescent="0.4">
      <c r="A1219" s="1"/>
      <c r="B1219" s="1"/>
      <c r="C1219" s="17"/>
      <c r="D1219" s="17" t="s">
        <v>301</v>
      </c>
      <c r="E1219" s="17"/>
      <c r="F1219" s="32"/>
      <c r="G1219" s="6"/>
      <c r="H1219" s="6"/>
      <c r="I1219" s="6"/>
      <c r="J1219" s="6"/>
      <c r="K1219" s="6"/>
      <c r="L1219" s="6"/>
      <c r="M1219" s="6"/>
      <c r="N1219" s="6"/>
      <c r="O1219" s="31"/>
      <c r="P1219" s="32"/>
      <c r="Q1219" s="6"/>
      <c r="R1219" s="59"/>
      <c r="S1219" s="1"/>
      <c r="T1219" s="1"/>
      <c r="U1219" s="1"/>
    </row>
    <row r="1220" spans="1:21" ht="9.75" customHeight="1" x14ac:dyDescent="0.4">
      <c r="A1220" s="1"/>
      <c r="B1220" s="1"/>
      <c r="C1220" s="17"/>
      <c r="D1220" s="17" t="s">
        <v>303</v>
      </c>
      <c r="E1220" s="17"/>
      <c r="F1220" s="32"/>
      <c r="G1220" s="6"/>
      <c r="H1220" s="6"/>
      <c r="I1220" s="6"/>
      <c r="J1220" s="6"/>
      <c r="K1220" s="6"/>
      <c r="L1220" s="6"/>
      <c r="M1220" s="6"/>
      <c r="N1220" s="6"/>
      <c r="O1220" s="31"/>
      <c r="P1220" s="32"/>
      <c r="Q1220" s="6"/>
      <c r="R1220" s="59"/>
      <c r="S1220" s="1"/>
      <c r="T1220" s="1"/>
      <c r="U1220" s="1"/>
    </row>
    <row r="1221" spans="1:21" ht="9.75" customHeight="1" x14ac:dyDescent="0.4">
      <c r="A1221" s="1"/>
      <c r="B1221" s="1"/>
      <c r="C1221" s="17"/>
      <c r="D1221" s="17" t="s">
        <v>369</v>
      </c>
      <c r="E1221" s="17"/>
      <c r="F1221" s="32"/>
      <c r="G1221" s="6"/>
      <c r="H1221" s="6"/>
      <c r="I1221" s="6"/>
      <c r="J1221" s="6"/>
      <c r="K1221" s="6"/>
      <c r="L1221" s="6"/>
      <c r="M1221" s="6"/>
      <c r="N1221" s="6"/>
      <c r="O1221" s="31"/>
      <c r="P1221" s="32"/>
      <c r="Q1221" s="6"/>
      <c r="R1221" s="59"/>
      <c r="S1221" s="1"/>
      <c r="T1221" s="1"/>
      <c r="U1221" s="1"/>
    </row>
    <row r="1222" spans="1:21" ht="9.75" customHeight="1" x14ac:dyDescent="0.4">
      <c r="A1222" s="1"/>
      <c r="B1222" s="1"/>
      <c r="C1222" s="17"/>
      <c r="D1222" s="17" t="s">
        <v>369</v>
      </c>
      <c r="E1222" s="17"/>
      <c r="F1222" s="32"/>
      <c r="G1222" s="6"/>
      <c r="H1222" s="6"/>
      <c r="I1222" s="6"/>
      <c r="J1222" s="6"/>
      <c r="K1222" s="6"/>
      <c r="L1222" s="6"/>
      <c r="M1222" s="6"/>
      <c r="N1222" s="6"/>
      <c r="O1222" s="31"/>
      <c r="P1222" s="32"/>
      <c r="Q1222" s="6"/>
      <c r="R1222" s="59"/>
      <c r="S1222" s="1"/>
      <c r="T1222" s="1"/>
      <c r="U1222" s="1"/>
    </row>
    <row r="1223" spans="1:21" ht="9.75" customHeight="1" x14ac:dyDescent="0.4">
      <c r="A1223" s="1"/>
      <c r="B1223" s="1"/>
      <c r="C1223" s="17"/>
      <c r="D1223" s="17" t="s">
        <v>308</v>
      </c>
      <c r="E1223" s="17">
        <v>35</v>
      </c>
      <c r="F1223" s="32">
        <v>27</v>
      </c>
      <c r="G1223" s="6">
        <v>21</v>
      </c>
      <c r="H1223" s="6">
        <v>18</v>
      </c>
      <c r="I1223" s="6">
        <v>18</v>
      </c>
      <c r="J1223" s="6">
        <v>17</v>
      </c>
      <c r="K1223" s="74">
        <v>15</v>
      </c>
      <c r="L1223" s="74">
        <v>14</v>
      </c>
      <c r="M1223" s="74">
        <v>14</v>
      </c>
      <c r="N1223" s="74">
        <v>15</v>
      </c>
      <c r="O1223" s="123">
        <v>16</v>
      </c>
      <c r="P1223" s="32">
        <f>MIN(F1223:O1223)</f>
        <v>14</v>
      </c>
      <c r="Q1223" s="6">
        <f>E1223-P1223</f>
        <v>21</v>
      </c>
      <c r="R1223" s="59">
        <f>Q1223/E1223</f>
        <v>0.6</v>
      </c>
      <c r="S1223" s="1"/>
      <c r="T1223" s="1"/>
      <c r="U1223" s="1"/>
    </row>
    <row r="1224" spans="1:21" ht="9.75" customHeight="1" x14ac:dyDescent="0.4">
      <c r="A1224" s="1"/>
      <c r="B1224" s="1"/>
      <c r="C1224" s="17"/>
      <c r="D1224" s="17" t="s">
        <v>374</v>
      </c>
      <c r="E1224" s="17"/>
      <c r="F1224" s="32"/>
      <c r="G1224" s="6"/>
      <c r="H1224" s="6"/>
      <c r="I1224" s="6"/>
      <c r="J1224" s="6"/>
      <c r="K1224" s="192"/>
      <c r="L1224" s="192"/>
      <c r="M1224" s="192"/>
      <c r="N1224" s="192"/>
      <c r="O1224" s="193"/>
      <c r="P1224" s="32"/>
      <c r="Q1224" s="6"/>
      <c r="R1224" s="59"/>
      <c r="S1224" s="1"/>
      <c r="T1224" s="1"/>
      <c r="U1224" s="1"/>
    </row>
    <row r="1225" spans="1:21" ht="9.75" customHeight="1" x14ac:dyDescent="0.4">
      <c r="A1225" s="1"/>
      <c r="B1225" s="1"/>
      <c r="C1225" s="17"/>
      <c r="D1225" s="17" t="s">
        <v>374</v>
      </c>
      <c r="E1225" s="17"/>
      <c r="F1225" s="32"/>
      <c r="G1225" s="6"/>
      <c r="H1225" s="6"/>
      <c r="I1225" s="6"/>
      <c r="J1225" s="6"/>
      <c r="K1225" s="192"/>
      <c r="L1225" s="192"/>
      <c r="M1225" s="192"/>
      <c r="N1225" s="192"/>
      <c r="O1225" s="193"/>
      <c r="P1225" s="32"/>
      <c r="Q1225" s="6"/>
      <c r="R1225" s="59"/>
      <c r="S1225" s="1"/>
      <c r="T1225" s="1"/>
      <c r="U1225" s="1"/>
    </row>
    <row r="1226" spans="1:21" ht="9.75" customHeight="1" x14ac:dyDescent="0.4">
      <c r="A1226" s="1"/>
      <c r="B1226" s="1"/>
      <c r="C1226" s="17"/>
      <c r="D1226" s="17" t="s">
        <v>374</v>
      </c>
      <c r="E1226" s="17"/>
      <c r="F1226" s="32"/>
      <c r="G1226" s="6"/>
      <c r="H1226" s="6"/>
      <c r="I1226" s="6"/>
      <c r="J1226" s="6"/>
      <c r="K1226" s="192"/>
      <c r="L1226" s="192"/>
      <c r="M1226" s="192"/>
      <c r="N1226" s="192"/>
      <c r="O1226" s="193"/>
      <c r="P1226" s="32"/>
      <c r="Q1226" s="6"/>
      <c r="R1226" s="59"/>
      <c r="S1226" s="1"/>
      <c r="T1226" s="1"/>
      <c r="U1226" s="1"/>
    </row>
    <row r="1227" spans="1:21" ht="9.75" customHeight="1" x14ac:dyDescent="0.4">
      <c r="A1227" s="1"/>
      <c r="B1227" s="1"/>
      <c r="C1227" s="17"/>
      <c r="D1227" s="17" t="s">
        <v>374</v>
      </c>
      <c r="E1227" s="17"/>
      <c r="F1227" s="32"/>
      <c r="G1227" s="6"/>
      <c r="H1227" s="6"/>
      <c r="I1227" s="6"/>
      <c r="J1227" s="6"/>
      <c r="K1227" s="192"/>
      <c r="L1227" s="192"/>
      <c r="M1227" s="192"/>
      <c r="N1227" s="192"/>
      <c r="O1227" s="193"/>
      <c r="P1227" s="32"/>
      <c r="Q1227" s="6"/>
      <c r="R1227" s="59"/>
      <c r="S1227" s="1"/>
      <c r="T1227" s="1"/>
      <c r="U1227" s="1"/>
    </row>
    <row r="1228" spans="1:21" ht="9.75" customHeight="1" x14ac:dyDescent="0.4">
      <c r="A1228" s="1"/>
      <c r="B1228" s="1"/>
      <c r="C1228" s="17"/>
      <c r="D1228" s="17" t="s">
        <v>374</v>
      </c>
      <c r="E1228" s="17"/>
      <c r="F1228" s="32"/>
      <c r="G1228" s="6"/>
      <c r="H1228" s="6"/>
      <c r="I1228" s="6"/>
      <c r="J1228" s="6"/>
      <c r="K1228" s="192"/>
      <c r="L1228" s="192"/>
      <c r="M1228" s="192"/>
      <c r="N1228" s="192"/>
      <c r="O1228" s="193"/>
      <c r="P1228" s="32"/>
      <c r="Q1228" s="6"/>
      <c r="R1228" s="59"/>
      <c r="S1228" s="1"/>
      <c r="T1228" s="1"/>
      <c r="U1228" s="1"/>
    </row>
    <row r="1229" spans="1:21" ht="9.75" customHeight="1" x14ac:dyDescent="0.4">
      <c r="A1229" s="1"/>
      <c r="B1229" s="1"/>
      <c r="C1229" s="17"/>
      <c r="D1229" s="17" t="s">
        <v>374</v>
      </c>
      <c r="E1229" s="17"/>
      <c r="F1229" s="32"/>
      <c r="G1229" s="6"/>
      <c r="H1229" s="6"/>
      <c r="I1229" s="6"/>
      <c r="J1229" s="6"/>
      <c r="K1229" s="192"/>
      <c r="L1229" s="192"/>
      <c r="M1229" s="192"/>
      <c r="N1229" s="192"/>
      <c r="O1229" s="193"/>
      <c r="P1229" s="32"/>
      <c r="Q1229" s="6"/>
      <c r="R1229" s="59"/>
      <c r="S1229" s="1"/>
      <c r="T1229" s="1"/>
      <c r="U1229" s="1"/>
    </row>
    <row r="1230" spans="1:21" ht="9.75" customHeight="1" x14ac:dyDescent="0.4">
      <c r="A1230" s="1"/>
      <c r="B1230" s="1"/>
      <c r="C1230" s="17"/>
      <c r="D1230" s="17" t="s">
        <v>310</v>
      </c>
      <c r="E1230" s="17">
        <v>5</v>
      </c>
      <c r="F1230" s="32">
        <v>4</v>
      </c>
      <c r="G1230" s="6">
        <v>3</v>
      </c>
      <c r="H1230" s="6">
        <v>2</v>
      </c>
      <c r="I1230" s="6">
        <v>3</v>
      </c>
      <c r="J1230" s="6">
        <v>4</v>
      </c>
      <c r="K1230" s="74">
        <v>2</v>
      </c>
      <c r="L1230" s="74">
        <v>2</v>
      </c>
      <c r="M1230" s="74">
        <v>4</v>
      </c>
      <c r="N1230" s="74">
        <v>4</v>
      </c>
      <c r="O1230" s="123">
        <v>5</v>
      </c>
      <c r="P1230" s="32">
        <f>MIN(F1230:O1230)</f>
        <v>2</v>
      </c>
      <c r="Q1230" s="6">
        <f>E1230-P1230</f>
        <v>3</v>
      </c>
      <c r="R1230" s="59">
        <f>Q1230/E1230</f>
        <v>0.6</v>
      </c>
      <c r="S1230" s="1"/>
      <c r="T1230" s="1"/>
      <c r="U1230" s="1"/>
    </row>
    <row r="1231" spans="1:21" ht="9.75" customHeight="1" x14ac:dyDescent="0.4">
      <c r="A1231" s="1"/>
      <c r="B1231" s="1"/>
      <c r="C1231" s="17"/>
      <c r="D1231" s="17" t="s">
        <v>311</v>
      </c>
      <c r="E1231" s="17"/>
      <c r="F1231" s="32"/>
      <c r="G1231" s="6"/>
      <c r="H1231" s="6"/>
      <c r="I1231" s="6"/>
      <c r="J1231" s="6"/>
      <c r="K1231" s="6"/>
      <c r="L1231" s="6"/>
      <c r="M1231" s="6"/>
      <c r="N1231" s="6"/>
      <c r="O1231" s="31"/>
      <c r="P1231" s="32"/>
      <c r="Q1231" s="6"/>
      <c r="R1231" s="59"/>
      <c r="S1231" s="1"/>
      <c r="T1231" s="1"/>
      <c r="U1231" s="1"/>
    </row>
    <row r="1232" spans="1:21" ht="9.75" customHeight="1" x14ac:dyDescent="0.4">
      <c r="A1232" s="1"/>
      <c r="B1232" s="1"/>
      <c r="C1232" s="17"/>
      <c r="D1232" s="17" t="s">
        <v>312</v>
      </c>
      <c r="E1232" s="17"/>
      <c r="F1232" s="32"/>
      <c r="G1232" s="6"/>
      <c r="H1232" s="6"/>
      <c r="I1232" s="6"/>
      <c r="J1232" s="6"/>
      <c r="K1232" s="6"/>
      <c r="L1232" s="6"/>
      <c r="M1232" s="6"/>
      <c r="N1232" s="6"/>
      <c r="O1232" s="31"/>
      <c r="P1232" s="32"/>
      <c r="Q1232" s="6"/>
      <c r="R1232" s="59"/>
      <c r="S1232" s="1"/>
      <c r="T1232" s="1"/>
      <c r="U1232" s="1"/>
    </row>
    <row r="1233" spans="1:21" ht="9.75" customHeight="1" x14ac:dyDescent="0.4">
      <c r="A1233" s="1"/>
      <c r="B1233" s="1"/>
      <c r="C1233" s="17"/>
      <c r="D1233" s="17" t="s">
        <v>313</v>
      </c>
      <c r="E1233" s="17"/>
      <c r="F1233" s="32"/>
      <c r="G1233" s="6"/>
      <c r="H1233" s="6"/>
      <c r="I1233" s="6"/>
      <c r="J1233" s="6"/>
      <c r="K1233" s="6"/>
      <c r="L1233" s="6"/>
      <c r="M1233" s="6"/>
      <c r="N1233" s="6"/>
      <c r="O1233" s="31"/>
      <c r="P1233" s="32"/>
      <c r="Q1233" s="6"/>
      <c r="R1233" s="59"/>
      <c r="S1233" s="1"/>
      <c r="T1233" s="1"/>
      <c r="U1233" s="1"/>
    </row>
    <row r="1234" spans="1:21" ht="9.75" customHeight="1" x14ac:dyDescent="0.4">
      <c r="A1234" s="1"/>
      <c r="B1234" s="1" t="s">
        <v>395</v>
      </c>
      <c r="C1234" s="34"/>
      <c r="D1234" s="65" t="s">
        <v>314</v>
      </c>
      <c r="E1234" s="65">
        <f t="shared" ref="E1234:O1234" si="198">SUM(E1218:E1233)</f>
        <v>40</v>
      </c>
      <c r="F1234" s="104">
        <f t="shared" si="198"/>
        <v>31</v>
      </c>
      <c r="G1234" s="128">
        <f t="shared" si="198"/>
        <v>24</v>
      </c>
      <c r="H1234" s="128">
        <f t="shared" si="198"/>
        <v>20</v>
      </c>
      <c r="I1234" s="128">
        <f t="shared" si="198"/>
        <v>21</v>
      </c>
      <c r="J1234" s="128">
        <f t="shared" si="198"/>
        <v>21</v>
      </c>
      <c r="K1234" s="128">
        <f t="shared" si="198"/>
        <v>17</v>
      </c>
      <c r="L1234" s="128">
        <f t="shared" si="198"/>
        <v>16</v>
      </c>
      <c r="M1234" s="128">
        <f t="shared" si="198"/>
        <v>18</v>
      </c>
      <c r="N1234" s="128">
        <f t="shared" si="198"/>
        <v>19</v>
      </c>
      <c r="O1234" s="129">
        <f t="shared" si="198"/>
        <v>21</v>
      </c>
      <c r="P1234" s="104">
        <f>MIN(F1234:O1234)</f>
        <v>16</v>
      </c>
      <c r="Q1234" s="128">
        <f>E1234-P1234</f>
        <v>24</v>
      </c>
      <c r="R1234" s="72">
        <f>Q1234/E1234</f>
        <v>0.6</v>
      </c>
      <c r="S1234" s="1"/>
      <c r="T1234" s="1"/>
      <c r="U1234" s="1"/>
    </row>
    <row r="1235" spans="1:21" ht="9.75" customHeight="1" x14ac:dyDescent="0.4">
      <c r="A1235" s="1"/>
      <c r="B1235" s="1"/>
      <c r="C1235" s="15" t="s">
        <v>165</v>
      </c>
      <c r="D1235" s="15" t="s">
        <v>300</v>
      </c>
      <c r="E1235" s="15"/>
      <c r="F1235" s="73"/>
      <c r="G1235" s="108"/>
      <c r="H1235" s="108"/>
      <c r="I1235" s="108"/>
      <c r="J1235" s="108"/>
      <c r="K1235" s="108"/>
      <c r="L1235" s="108"/>
      <c r="M1235" s="108"/>
      <c r="N1235" s="108"/>
      <c r="O1235" s="109"/>
      <c r="P1235" s="73"/>
      <c r="Q1235" s="108"/>
      <c r="R1235" s="188"/>
      <c r="S1235" s="1"/>
      <c r="T1235" s="1"/>
      <c r="U1235" s="1"/>
    </row>
    <row r="1236" spans="1:21" ht="9.75" customHeight="1" x14ac:dyDescent="0.4">
      <c r="A1236" s="1"/>
      <c r="B1236" s="1"/>
      <c r="C1236" s="17"/>
      <c r="D1236" s="17" t="s">
        <v>301</v>
      </c>
      <c r="E1236" s="17"/>
      <c r="F1236" s="32"/>
      <c r="G1236" s="6"/>
      <c r="H1236" s="6"/>
      <c r="I1236" s="6"/>
      <c r="J1236" s="6"/>
      <c r="K1236" s="6"/>
      <c r="L1236" s="6"/>
      <c r="M1236" s="6"/>
      <c r="N1236" s="6"/>
      <c r="O1236" s="31"/>
      <c r="P1236" s="32"/>
      <c r="Q1236" s="6"/>
      <c r="R1236" s="59"/>
      <c r="S1236" s="1"/>
      <c r="T1236" s="1"/>
      <c r="U1236" s="1"/>
    </row>
    <row r="1237" spans="1:21" ht="9.75" customHeight="1" x14ac:dyDescent="0.4">
      <c r="A1237" s="1"/>
      <c r="B1237" s="1"/>
      <c r="C1237" s="17"/>
      <c r="D1237" s="17" t="s">
        <v>303</v>
      </c>
      <c r="E1237" s="17"/>
      <c r="F1237" s="32"/>
      <c r="G1237" s="6"/>
      <c r="H1237" s="6"/>
      <c r="I1237" s="6"/>
      <c r="J1237" s="6"/>
      <c r="K1237" s="6"/>
      <c r="L1237" s="6"/>
      <c r="M1237" s="6"/>
      <c r="N1237" s="6"/>
      <c r="O1237" s="31"/>
      <c r="P1237" s="32"/>
      <c r="Q1237" s="6"/>
      <c r="R1237" s="59"/>
      <c r="S1237" s="1"/>
      <c r="T1237" s="1"/>
      <c r="U1237" s="1"/>
    </row>
    <row r="1238" spans="1:21" ht="9.75" customHeight="1" x14ac:dyDescent="0.4">
      <c r="A1238" s="1"/>
      <c r="B1238" s="1"/>
      <c r="C1238" s="17"/>
      <c r="D1238" s="17" t="s">
        <v>369</v>
      </c>
      <c r="E1238" s="17"/>
      <c r="F1238" s="32"/>
      <c r="G1238" s="6"/>
      <c r="H1238" s="6"/>
      <c r="I1238" s="6"/>
      <c r="J1238" s="6"/>
      <c r="K1238" s="6"/>
      <c r="L1238" s="6"/>
      <c r="M1238" s="6"/>
      <c r="N1238" s="6"/>
      <c r="O1238" s="31"/>
      <c r="P1238" s="32"/>
      <c r="Q1238" s="6"/>
      <c r="R1238" s="59"/>
      <c r="S1238" s="1"/>
      <c r="T1238" s="1"/>
      <c r="U1238" s="1"/>
    </row>
    <row r="1239" spans="1:21" ht="9.75" customHeight="1" x14ac:dyDescent="0.4">
      <c r="A1239" s="1"/>
      <c r="B1239" s="1"/>
      <c r="C1239" s="17"/>
      <c r="D1239" s="17" t="s">
        <v>369</v>
      </c>
      <c r="E1239" s="17"/>
      <c r="F1239" s="32"/>
      <c r="G1239" s="6"/>
      <c r="H1239" s="6"/>
      <c r="I1239" s="6"/>
      <c r="J1239" s="6"/>
      <c r="K1239" s="6"/>
      <c r="L1239" s="6"/>
      <c r="M1239" s="6"/>
      <c r="N1239" s="6"/>
      <c r="O1239" s="31"/>
      <c r="P1239" s="32"/>
      <c r="Q1239" s="6"/>
      <c r="R1239" s="59"/>
      <c r="S1239" s="1"/>
      <c r="T1239" s="1"/>
      <c r="U1239" s="1"/>
    </row>
    <row r="1240" spans="1:21" ht="9.75" customHeight="1" x14ac:dyDescent="0.4">
      <c r="A1240" s="1"/>
      <c r="B1240" s="1"/>
      <c r="C1240" s="17"/>
      <c r="D1240" s="17" t="s">
        <v>308</v>
      </c>
      <c r="E1240" s="17">
        <v>1</v>
      </c>
      <c r="F1240" s="32">
        <v>1</v>
      </c>
      <c r="G1240" s="6">
        <v>1</v>
      </c>
      <c r="H1240" s="6">
        <v>1</v>
      </c>
      <c r="I1240" s="6">
        <v>1</v>
      </c>
      <c r="J1240" s="6">
        <v>1</v>
      </c>
      <c r="K1240" s="6">
        <v>1</v>
      </c>
      <c r="L1240" s="6">
        <v>1</v>
      </c>
      <c r="M1240" s="6">
        <v>1</v>
      </c>
      <c r="N1240" s="6">
        <v>0</v>
      </c>
      <c r="O1240" s="31">
        <v>0</v>
      </c>
      <c r="P1240" s="32">
        <f>MIN(F1240:O1240)</f>
        <v>0</v>
      </c>
      <c r="Q1240" s="6">
        <f>E1240-P1240</f>
        <v>1</v>
      </c>
      <c r="R1240" s="59">
        <f>Q1240/E1240</f>
        <v>1</v>
      </c>
      <c r="S1240" s="1"/>
      <c r="T1240" s="1"/>
      <c r="U1240" s="1"/>
    </row>
    <row r="1241" spans="1:21" ht="9.75" customHeight="1" x14ac:dyDescent="0.4">
      <c r="A1241" s="1"/>
      <c r="B1241" s="1"/>
      <c r="C1241" s="17"/>
      <c r="D1241" s="17" t="s">
        <v>374</v>
      </c>
      <c r="E1241" s="17"/>
      <c r="F1241" s="32"/>
      <c r="G1241" s="6"/>
      <c r="H1241" s="6"/>
      <c r="I1241" s="6"/>
      <c r="J1241" s="6"/>
      <c r="K1241" s="6"/>
      <c r="L1241" s="6"/>
      <c r="M1241" s="6"/>
      <c r="N1241" s="6"/>
      <c r="O1241" s="31"/>
      <c r="P1241" s="32"/>
      <c r="Q1241" s="6"/>
      <c r="R1241" s="59"/>
      <c r="S1241" s="1"/>
      <c r="T1241" s="1"/>
      <c r="U1241" s="1"/>
    </row>
    <row r="1242" spans="1:21" ht="9.75" customHeight="1" x14ac:dyDescent="0.4">
      <c r="A1242" s="1"/>
      <c r="B1242" s="1"/>
      <c r="C1242" s="17"/>
      <c r="D1242" s="17" t="s">
        <v>374</v>
      </c>
      <c r="E1242" s="17"/>
      <c r="F1242" s="32"/>
      <c r="G1242" s="6"/>
      <c r="H1242" s="6"/>
      <c r="I1242" s="6"/>
      <c r="J1242" s="6"/>
      <c r="K1242" s="6"/>
      <c r="L1242" s="6"/>
      <c r="M1242" s="6"/>
      <c r="N1242" s="6"/>
      <c r="O1242" s="31"/>
      <c r="P1242" s="32"/>
      <c r="Q1242" s="6"/>
      <c r="R1242" s="59"/>
      <c r="S1242" s="1"/>
      <c r="T1242" s="1"/>
      <c r="U1242" s="1"/>
    </row>
    <row r="1243" spans="1:21" ht="9.75" customHeight="1" x14ac:dyDescent="0.4">
      <c r="A1243" s="1"/>
      <c r="B1243" s="1"/>
      <c r="C1243" s="17"/>
      <c r="D1243" s="17" t="s">
        <v>374</v>
      </c>
      <c r="E1243" s="17"/>
      <c r="F1243" s="32"/>
      <c r="G1243" s="6"/>
      <c r="H1243" s="6"/>
      <c r="I1243" s="6"/>
      <c r="J1243" s="6"/>
      <c r="K1243" s="6"/>
      <c r="L1243" s="6"/>
      <c r="M1243" s="6"/>
      <c r="N1243" s="6"/>
      <c r="O1243" s="31"/>
      <c r="P1243" s="32"/>
      <c r="Q1243" s="6"/>
      <c r="R1243" s="59"/>
      <c r="S1243" s="1"/>
      <c r="T1243" s="1"/>
      <c r="U1243" s="1"/>
    </row>
    <row r="1244" spans="1:21" ht="9.75" customHeight="1" x14ac:dyDescent="0.4">
      <c r="A1244" s="1"/>
      <c r="B1244" s="1"/>
      <c r="C1244" s="17"/>
      <c r="D1244" s="17" t="s">
        <v>374</v>
      </c>
      <c r="E1244" s="17"/>
      <c r="F1244" s="32"/>
      <c r="G1244" s="6"/>
      <c r="H1244" s="6"/>
      <c r="I1244" s="6"/>
      <c r="J1244" s="6"/>
      <c r="K1244" s="6"/>
      <c r="L1244" s="6"/>
      <c r="M1244" s="6"/>
      <c r="N1244" s="6"/>
      <c r="O1244" s="31"/>
      <c r="P1244" s="32"/>
      <c r="Q1244" s="6"/>
      <c r="R1244" s="59"/>
      <c r="S1244" s="1"/>
      <c r="T1244" s="1"/>
      <c r="U1244" s="1"/>
    </row>
    <row r="1245" spans="1:21" ht="9.75" customHeight="1" x14ac:dyDescent="0.4">
      <c r="A1245" s="1"/>
      <c r="B1245" s="1"/>
      <c r="C1245" s="17"/>
      <c r="D1245" s="17" t="s">
        <v>374</v>
      </c>
      <c r="E1245" s="17"/>
      <c r="F1245" s="32"/>
      <c r="G1245" s="6"/>
      <c r="H1245" s="6"/>
      <c r="I1245" s="6"/>
      <c r="J1245" s="6"/>
      <c r="K1245" s="6"/>
      <c r="L1245" s="6"/>
      <c r="M1245" s="6"/>
      <c r="N1245" s="6"/>
      <c r="O1245" s="31"/>
      <c r="P1245" s="32"/>
      <c r="Q1245" s="6"/>
      <c r="R1245" s="59"/>
      <c r="S1245" s="1"/>
      <c r="T1245" s="1"/>
      <c r="U1245" s="1"/>
    </row>
    <row r="1246" spans="1:21" ht="9.75" customHeight="1" x14ac:dyDescent="0.4">
      <c r="A1246" s="1"/>
      <c r="B1246" s="1"/>
      <c r="C1246" s="17"/>
      <c r="D1246" s="17" t="s">
        <v>374</v>
      </c>
      <c r="E1246" s="17"/>
      <c r="F1246" s="32"/>
      <c r="G1246" s="6"/>
      <c r="H1246" s="6"/>
      <c r="I1246" s="6"/>
      <c r="J1246" s="6"/>
      <c r="K1246" s="6"/>
      <c r="L1246" s="6"/>
      <c r="M1246" s="6"/>
      <c r="N1246" s="6"/>
      <c r="O1246" s="31"/>
      <c r="P1246" s="32"/>
      <c r="Q1246" s="6"/>
      <c r="R1246" s="59"/>
      <c r="S1246" s="1"/>
      <c r="T1246" s="1"/>
      <c r="U1246" s="1"/>
    </row>
    <row r="1247" spans="1:21" ht="9.75" customHeight="1" x14ac:dyDescent="0.4">
      <c r="A1247" s="1"/>
      <c r="B1247" s="1"/>
      <c r="C1247" s="17"/>
      <c r="D1247" s="17" t="s">
        <v>310</v>
      </c>
      <c r="E1247" s="17">
        <v>2</v>
      </c>
      <c r="F1247" s="32">
        <v>1</v>
      </c>
      <c r="G1247" s="6">
        <v>1</v>
      </c>
      <c r="H1247" s="6">
        <v>1</v>
      </c>
      <c r="I1247" s="6">
        <v>2</v>
      </c>
      <c r="J1247" s="6">
        <v>2</v>
      </c>
      <c r="K1247" s="74">
        <v>2</v>
      </c>
      <c r="L1247" s="74">
        <v>1</v>
      </c>
      <c r="M1247" s="74">
        <v>2</v>
      </c>
      <c r="N1247" s="74">
        <v>2</v>
      </c>
      <c r="O1247" s="123">
        <v>1</v>
      </c>
      <c r="P1247" s="32">
        <f>MIN(F1247:O1247)</f>
        <v>1</v>
      </c>
      <c r="Q1247" s="6">
        <f>E1247-P1247</f>
        <v>1</v>
      </c>
      <c r="R1247" s="59">
        <f>Q1247/E1247</f>
        <v>0.5</v>
      </c>
      <c r="S1247" s="1"/>
      <c r="T1247" s="1"/>
      <c r="U1247" s="1"/>
    </row>
    <row r="1248" spans="1:21" ht="9.75" customHeight="1" x14ac:dyDescent="0.4">
      <c r="A1248" s="1"/>
      <c r="B1248" s="1"/>
      <c r="C1248" s="17"/>
      <c r="D1248" s="17" t="s">
        <v>311</v>
      </c>
      <c r="E1248" s="17"/>
      <c r="F1248" s="32"/>
      <c r="G1248" s="6"/>
      <c r="H1248" s="6"/>
      <c r="I1248" s="6"/>
      <c r="J1248" s="6"/>
      <c r="K1248" s="6"/>
      <c r="L1248" s="6"/>
      <c r="M1248" s="6"/>
      <c r="N1248" s="6"/>
      <c r="O1248" s="31"/>
      <c r="P1248" s="32"/>
      <c r="Q1248" s="6"/>
      <c r="R1248" s="59"/>
      <c r="S1248" s="1"/>
      <c r="T1248" s="1"/>
      <c r="U1248" s="1"/>
    </row>
    <row r="1249" spans="1:21" ht="9.75" customHeight="1" x14ac:dyDescent="0.4">
      <c r="A1249" s="1"/>
      <c r="B1249" s="1"/>
      <c r="C1249" s="17"/>
      <c r="D1249" s="17" t="s">
        <v>312</v>
      </c>
      <c r="E1249" s="17"/>
      <c r="F1249" s="32"/>
      <c r="G1249" s="6"/>
      <c r="H1249" s="6"/>
      <c r="I1249" s="6"/>
      <c r="J1249" s="6"/>
      <c r="K1249" s="6"/>
      <c r="L1249" s="6"/>
      <c r="M1249" s="6"/>
      <c r="N1249" s="6"/>
      <c r="O1249" s="31"/>
      <c r="P1249" s="32"/>
      <c r="Q1249" s="6"/>
      <c r="R1249" s="59"/>
      <c r="S1249" s="1"/>
      <c r="T1249" s="1"/>
      <c r="U1249" s="1"/>
    </row>
    <row r="1250" spans="1:21" ht="9.75" customHeight="1" x14ac:dyDescent="0.4">
      <c r="A1250" s="1"/>
      <c r="B1250" s="1"/>
      <c r="C1250" s="17"/>
      <c r="D1250" s="17" t="s">
        <v>313</v>
      </c>
      <c r="E1250" s="17"/>
      <c r="F1250" s="32"/>
      <c r="G1250" s="6"/>
      <c r="H1250" s="6"/>
      <c r="I1250" s="6"/>
      <c r="J1250" s="6"/>
      <c r="K1250" s="6"/>
      <c r="L1250" s="6"/>
      <c r="M1250" s="6"/>
      <c r="N1250" s="6"/>
      <c r="O1250" s="31"/>
      <c r="P1250" s="32"/>
      <c r="Q1250" s="6"/>
      <c r="R1250" s="59"/>
      <c r="S1250" s="1"/>
      <c r="T1250" s="1"/>
      <c r="U1250" s="1"/>
    </row>
    <row r="1251" spans="1:21" ht="9.75" customHeight="1" x14ac:dyDescent="0.4">
      <c r="A1251" s="1"/>
      <c r="B1251" s="1" t="s">
        <v>395</v>
      </c>
      <c r="C1251" s="34"/>
      <c r="D1251" s="65" t="s">
        <v>314</v>
      </c>
      <c r="E1251" s="65">
        <f t="shared" ref="E1251:O1251" si="199">SUM(E1235:E1250)</f>
        <v>3</v>
      </c>
      <c r="F1251" s="104">
        <f t="shared" si="199"/>
        <v>2</v>
      </c>
      <c r="G1251" s="128">
        <f t="shared" si="199"/>
        <v>2</v>
      </c>
      <c r="H1251" s="128">
        <f t="shared" si="199"/>
        <v>2</v>
      </c>
      <c r="I1251" s="128">
        <f t="shared" si="199"/>
        <v>3</v>
      </c>
      <c r="J1251" s="128">
        <f t="shared" si="199"/>
        <v>3</v>
      </c>
      <c r="K1251" s="128">
        <f t="shared" si="199"/>
        <v>3</v>
      </c>
      <c r="L1251" s="128">
        <f t="shared" si="199"/>
        <v>2</v>
      </c>
      <c r="M1251" s="128">
        <f t="shared" si="199"/>
        <v>3</v>
      </c>
      <c r="N1251" s="128">
        <f t="shared" si="199"/>
        <v>2</v>
      </c>
      <c r="O1251" s="129">
        <f t="shared" si="199"/>
        <v>1</v>
      </c>
      <c r="P1251" s="104">
        <f t="shared" ref="P1251:P1252" si="200">MIN(F1251:O1251)</f>
        <v>1</v>
      </c>
      <c r="Q1251" s="128">
        <f t="shared" ref="Q1251:Q1252" si="201">E1251-P1251</f>
        <v>2</v>
      </c>
      <c r="R1251" s="72">
        <f t="shared" ref="R1251:R1252" si="202">Q1251/E1251</f>
        <v>0.66666666666666663</v>
      </c>
      <c r="S1251" s="1"/>
      <c r="T1251" s="1"/>
      <c r="U1251" s="1"/>
    </row>
    <row r="1252" spans="1:21" ht="9.75" customHeight="1" x14ac:dyDescent="0.4">
      <c r="A1252" s="1"/>
      <c r="B1252" s="1"/>
      <c r="C1252" s="15" t="s">
        <v>219</v>
      </c>
      <c r="D1252" s="15" t="s">
        <v>300</v>
      </c>
      <c r="E1252" s="15">
        <v>3</v>
      </c>
      <c r="F1252" s="73">
        <v>0</v>
      </c>
      <c r="G1252" s="108">
        <v>0</v>
      </c>
      <c r="H1252" s="108">
        <v>0</v>
      </c>
      <c r="I1252" s="108">
        <v>1</v>
      </c>
      <c r="J1252" s="108">
        <v>1</v>
      </c>
      <c r="K1252" s="74">
        <v>0</v>
      </c>
      <c r="L1252" s="74">
        <v>0</v>
      </c>
      <c r="M1252" s="74">
        <v>2</v>
      </c>
      <c r="N1252" s="74">
        <v>3</v>
      </c>
      <c r="O1252" s="123">
        <v>3</v>
      </c>
      <c r="P1252" s="73">
        <f t="shared" si="200"/>
        <v>0</v>
      </c>
      <c r="Q1252" s="108">
        <f t="shared" si="201"/>
        <v>3</v>
      </c>
      <c r="R1252" s="188">
        <f t="shared" si="202"/>
        <v>1</v>
      </c>
      <c r="S1252" s="1"/>
      <c r="T1252" s="1"/>
      <c r="U1252" s="1"/>
    </row>
    <row r="1253" spans="1:21" ht="9.75" customHeight="1" x14ac:dyDescent="0.4">
      <c r="A1253" s="1"/>
      <c r="B1253" s="1"/>
      <c r="C1253" s="17"/>
      <c r="D1253" s="17" t="s">
        <v>301</v>
      </c>
      <c r="E1253" s="17"/>
      <c r="F1253" s="32"/>
      <c r="G1253" s="6"/>
      <c r="H1253" s="6"/>
      <c r="I1253" s="6"/>
      <c r="J1253" s="6"/>
      <c r="K1253" s="6"/>
      <c r="L1253" s="6"/>
      <c r="M1253" s="6"/>
      <c r="N1253" s="6"/>
      <c r="O1253" s="31"/>
      <c r="P1253" s="32"/>
      <c r="Q1253" s="6"/>
      <c r="R1253" s="59"/>
      <c r="S1253" s="1"/>
      <c r="T1253" s="1"/>
      <c r="U1253" s="1"/>
    </row>
    <row r="1254" spans="1:21" ht="9.75" customHeight="1" x14ac:dyDescent="0.4">
      <c r="A1254" s="1"/>
      <c r="B1254" s="1"/>
      <c r="C1254" s="17"/>
      <c r="D1254" s="17" t="s">
        <v>303</v>
      </c>
      <c r="E1254" s="17"/>
      <c r="F1254" s="32"/>
      <c r="G1254" s="6"/>
      <c r="H1254" s="6"/>
      <c r="I1254" s="6"/>
      <c r="J1254" s="6"/>
      <c r="K1254" s="6"/>
      <c r="L1254" s="6"/>
      <c r="M1254" s="6"/>
      <c r="N1254" s="6"/>
      <c r="O1254" s="31"/>
      <c r="P1254" s="32"/>
      <c r="Q1254" s="6"/>
      <c r="R1254" s="59"/>
      <c r="S1254" s="1"/>
      <c r="T1254" s="1"/>
      <c r="U1254" s="1"/>
    </row>
    <row r="1255" spans="1:21" ht="9.75" customHeight="1" x14ac:dyDescent="0.4">
      <c r="A1255" s="1"/>
      <c r="B1255" s="1"/>
      <c r="C1255" s="17"/>
      <c r="D1255" s="17" t="s">
        <v>369</v>
      </c>
      <c r="E1255" s="17"/>
      <c r="F1255" s="32"/>
      <c r="G1255" s="6"/>
      <c r="H1255" s="6"/>
      <c r="I1255" s="6"/>
      <c r="J1255" s="6"/>
      <c r="K1255" s="6"/>
      <c r="L1255" s="6"/>
      <c r="M1255" s="6"/>
      <c r="N1255" s="6"/>
      <c r="O1255" s="31"/>
      <c r="P1255" s="32"/>
      <c r="Q1255" s="6"/>
      <c r="R1255" s="59"/>
      <c r="S1255" s="1"/>
      <c r="T1255" s="1"/>
      <c r="U1255" s="1"/>
    </row>
    <row r="1256" spans="1:21" ht="9.75" customHeight="1" x14ac:dyDescent="0.4">
      <c r="A1256" s="1"/>
      <c r="B1256" s="1"/>
      <c r="C1256" s="17"/>
      <c r="D1256" s="17" t="s">
        <v>369</v>
      </c>
      <c r="E1256" s="17"/>
      <c r="F1256" s="32"/>
      <c r="G1256" s="6"/>
      <c r="H1256" s="6"/>
      <c r="I1256" s="6"/>
      <c r="J1256" s="6"/>
      <c r="K1256" s="6"/>
      <c r="L1256" s="6"/>
      <c r="M1256" s="6"/>
      <c r="N1256" s="6"/>
      <c r="O1256" s="31"/>
      <c r="P1256" s="32"/>
      <c r="Q1256" s="6"/>
      <c r="R1256" s="59"/>
      <c r="S1256" s="1"/>
      <c r="T1256" s="1"/>
      <c r="U1256" s="1"/>
    </row>
    <row r="1257" spans="1:21" ht="9.75" customHeight="1" x14ac:dyDescent="0.4">
      <c r="A1257" s="1"/>
      <c r="B1257" s="1"/>
      <c r="C1257" s="17"/>
      <c r="D1257" s="17" t="s">
        <v>308</v>
      </c>
      <c r="E1257" s="17">
        <v>3</v>
      </c>
      <c r="F1257" s="32">
        <v>3</v>
      </c>
      <c r="G1257" s="6">
        <v>3</v>
      </c>
      <c r="H1257" s="6">
        <v>2</v>
      </c>
      <c r="I1257" s="6">
        <v>3</v>
      </c>
      <c r="J1257" s="6">
        <v>3</v>
      </c>
      <c r="K1257" s="74">
        <v>2</v>
      </c>
      <c r="L1257" s="74">
        <v>2</v>
      </c>
      <c r="M1257" s="74">
        <v>2</v>
      </c>
      <c r="N1257" s="74">
        <v>3</v>
      </c>
      <c r="O1257" s="123">
        <v>3</v>
      </c>
      <c r="P1257" s="32">
        <f>MIN(F1257:O1257)</f>
        <v>2</v>
      </c>
      <c r="Q1257" s="6">
        <f>E1257-P1257</f>
        <v>1</v>
      </c>
      <c r="R1257" s="59">
        <f>Q1257/E1257</f>
        <v>0.33333333333333331</v>
      </c>
      <c r="S1257" s="1"/>
      <c r="T1257" s="1"/>
      <c r="U1257" s="1"/>
    </row>
    <row r="1258" spans="1:21" ht="9.75" customHeight="1" x14ac:dyDescent="0.4">
      <c r="A1258" s="1"/>
      <c r="B1258" s="1"/>
      <c r="C1258" s="17"/>
      <c r="D1258" s="17" t="s">
        <v>374</v>
      </c>
      <c r="E1258" s="17"/>
      <c r="F1258" s="32"/>
      <c r="G1258" s="6"/>
      <c r="H1258" s="6"/>
      <c r="I1258" s="6"/>
      <c r="J1258" s="6"/>
      <c r="K1258" s="6"/>
      <c r="L1258" s="6"/>
      <c r="M1258" s="6"/>
      <c r="N1258" s="6"/>
      <c r="O1258" s="31"/>
      <c r="P1258" s="32"/>
      <c r="Q1258" s="6"/>
      <c r="R1258" s="59"/>
      <c r="S1258" s="1"/>
      <c r="T1258" s="1"/>
      <c r="U1258" s="1"/>
    </row>
    <row r="1259" spans="1:21" ht="9.75" customHeight="1" x14ac:dyDescent="0.4">
      <c r="A1259" s="1"/>
      <c r="B1259" s="1"/>
      <c r="C1259" s="17"/>
      <c r="D1259" s="17" t="s">
        <v>374</v>
      </c>
      <c r="E1259" s="17"/>
      <c r="F1259" s="32"/>
      <c r="G1259" s="6"/>
      <c r="H1259" s="6"/>
      <c r="I1259" s="6"/>
      <c r="J1259" s="6"/>
      <c r="K1259" s="6"/>
      <c r="L1259" s="6"/>
      <c r="M1259" s="6"/>
      <c r="N1259" s="6"/>
      <c r="O1259" s="31"/>
      <c r="P1259" s="32"/>
      <c r="Q1259" s="6"/>
      <c r="R1259" s="59"/>
      <c r="S1259" s="1"/>
      <c r="T1259" s="1"/>
      <c r="U1259" s="1"/>
    </row>
    <row r="1260" spans="1:21" ht="9.75" customHeight="1" x14ac:dyDescent="0.4">
      <c r="A1260" s="1"/>
      <c r="B1260" s="1"/>
      <c r="C1260" s="17"/>
      <c r="D1260" s="17" t="s">
        <v>374</v>
      </c>
      <c r="E1260" s="17"/>
      <c r="F1260" s="32"/>
      <c r="G1260" s="6"/>
      <c r="H1260" s="6"/>
      <c r="I1260" s="6"/>
      <c r="J1260" s="6"/>
      <c r="K1260" s="6"/>
      <c r="L1260" s="6"/>
      <c r="M1260" s="6"/>
      <c r="N1260" s="6"/>
      <c r="O1260" s="31"/>
      <c r="P1260" s="32"/>
      <c r="Q1260" s="6"/>
      <c r="R1260" s="59"/>
      <c r="S1260" s="1"/>
      <c r="T1260" s="1"/>
      <c r="U1260" s="1"/>
    </row>
    <row r="1261" spans="1:21" ht="9.75" customHeight="1" x14ac:dyDescent="0.4">
      <c r="A1261" s="1"/>
      <c r="B1261" s="1"/>
      <c r="C1261" s="17"/>
      <c r="D1261" s="17" t="s">
        <v>374</v>
      </c>
      <c r="E1261" s="17"/>
      <c r="F1261" s="32"/>
      <c r="G1261" s="6"/>
      <c r="H1261" s="6"/>
      <c r="I1261" s="6"/>
      <c r="J1261" s="6"/>
      <c r="K1261" s="6"/>
      <c r="L1261" s="6"/>
      <c r="M1261" s="6"/>
      <c r="N1261" s="6"/>
      <c r="O1261" s="31"/>
      <c r="P1261" s="32"/>
      <c r="Q1261" s="6"/>
      <c r="R1261" s="59"/>
      <c r="S1261" s="1"/>
      <c r="T1261" s="1"/>
      <c r="U1261" s="1"/>
    </row>
    <row r="1262" spans="1:21" ht="9.75" customHeight="1" x14ac:dyDescent="0.4">
      <c r="A1262" s="1"/>
      <c r="B1262" s="1"/>
      <c r="C1262" s="17"/>
      <c r="D1262" s="17" t="s">
        <v>374</v>
      </c>
      <c r="E1262" s="17"/>
      <c r="F1262" s="32"/>
      <c r="G1262" s="6"/>
      <c r="H1262" s="6"/>
      <c r="I1262" s="6"/>
      <c r="J1262" s="6"/>
      <c r="K1262" s="6"/>
      <c r="L1262" s="6"/>
      <c r="M1262" s="6"/>
      <c r="N1262" s="6"/>
      <c r="O1262" s="31"/>
      <c r="P1262" s="32"/>
      <c r="Q1262" s="6"/>
      <c r="R1262" s="59"/>
      <c r="S1262" s="1"/>
      <c r="T1262" s="1"/>
      <c r="U1262" s="1"/>
    </row>
    <row r="1263" spans="1:21" ht="9.75" customHeight="1" x14ac:dyDescent="0.4">
      <c r="A1263" s="1"/>
      <c r="B1263" s="1"/>
      <c r="C1263" s="17"/>
      <c r="D1263" s="17" t="s">
        <v>374</v>
      </c>
      <c r="E1263" s="17"/>
      <c r="F1263" s="32"/>
      <c r="G1263" s="6"/>
      <c r="H1263" s="6"/>
      <c r="I1263" s="6"/>
      <c r="J1263" s="6"/>
      <c r="K1263" s="6"/>
      <c r="L1263" s="6"/>
      <c r="M1263" s="6"/>
      <c r="N1263" s="6"/>
      <c r="O1263" s="31"/>
      <c r="P1263" s="32"/>
      <c r="Q1263" s="6"/>
      <c r="R1263" s="59"/>
      <c r="S1263" s="1"/>
      <c r="T1263" s="1"/>
      <c r="U1263" s="1"/>
    </row>
    <row r="1264" spans="1:21" ht="9.75" customHeight="1" x14ac:dyDescent="0.4">
      <c r="A1264" s="1"/>
      <c r="B1264" s="1"/>
      <c r="C1264" s="17"/>
      <c r="D1264" s="17" t="s">
        <v>310</v>
      </c>
      <c r="E1264" s="17"/>
      <c r="F1264" s="32"/>
      <c r="G1264" s="6"/>
      <c r="H1264" s="6"/>
      <c r="I1264" s="6"/>
      <c r="J1264" s="6"/>
      <c r="K1264" s="6"/>
      <c r="L1264" s="6"/>
      <c r="M1264" s="6"/>
      <c r="N1264" s="6"/>
      <c r="O1264" s="31"/>
      <c r="P1264" s="32"/>
      <c r="Q1264" s="6"/>
      <c r="R1264" s="59"/>
      <c r="S1264" s="1"/>
      <c r="T1264" s="1"/>
      <c r="U1264" s="1"/>
    </row>
    <row r="1265" spans="1:21" ht="9.75" customHeight="1" x14ac:dyDescent="0.4">
      <c r="A1265" s="1"/>
      <c r="B1265" s="1"/>
      <c r="C1265" s="17"/>
      <c r="D1265" s="17" t="s">
        <v>311</v>
      </c>
      <c r="E1265" s="17"/>
      <c r="F1265" s="32"/>
      <c r="G1265" s="6"/>
      <c r="H1265" s="6"/>
      <c r="I1265" s="6"/>
      <c r="J1265" s="6"/>
      <c r="K1265" s="6"/>
      <c r="L1265" s="6"/>
      <c r="M1265" s="6"/>
      <c r="N1265" s="6"/>
      <c r="O1265" s="31"/>
      <c r="P1265" s="32"/>
      <c r="Q1265" s="6"/>
      <c r="R1265" s="59"/>
      <c r="S1265" s="1"/>
      <c r="T1265" s="1"/>
      <c r="U1265" s="1"/>
    </row>
    <row r="1266" spans="1:21" ht="9.75" customHeight="1" x14ac:dyDescent="0.4">
      <c r="A1266" s="1"/>
      <c r="B1266" s="1"/>
      <c r="C1266" s="17"/>
      <c r="D1266" s="17" t="s">
        <v>312</v>
      </c>
      <c r="E1266" s="17">
        <v>3</v>
      </c>
      <c r="F1266" s="32">
        <v>2</v>
      </c>
      <c r="G1266" s="6">
        <v>0</v>
      </c>
      <c r="H1266" s="6">
        <v>0</v>
      </c>
      <c r="I1266" s="6">
        <v>0</v>
      </c>
      <c r="J1266" s="6">
        <v>1</v>
      </c>
      <c r="K1266" s="74">
        <v>1</v>
      </c>
      <c r="L1266" s="74">
        <v>0</v>
      </c>
      <c r="M1266" s="74">
        <v>1</v>
      </c>
      <c r="N1266" s="74">
        <v>1</v>
      </c>
      <c r="O1266" s="123">
        <v>1</v>
      </c>
      <c r="P1266" s="32">
        <f t="shared" ref="P1266:P1268" si="203">MIN(F1266:O1266)</f>
        <v>0</v>
      </c>
      <c r="Q1266" s="6">
        <f t="shared" ref="Q1266:Q1268" si="204">E1266-P1266</f>
        <v>3</v>
      </c>
      <c r="R1266" s="59">
        <f t="shared" ref="R1266:R1268" si="205">Q1266/E1266</f>
        <v>1</v>
      </c>
      <c r="S1266" s="1"/>
      <c r="T1266" s="1"/>
      <c r="U1266" s="1"/>
    </row>
    <row r="1267" spans="1:21" ht="9.75" customHeight="1" x14ac:dyDescent="0.4">
      <c r="A1267" s="1"/>
      <c r="B1267" s="1"/>
      <c r="C1267" s="17"/>
      <c r="D1267" s="17" t="s">
        <v>313</v>
      </c>
      <c r="E1267" s="17">
        <v>7</v>
      </c>
      <c r="F1267" s="32">
        <v>3</v>
      </c>
      <c r="G1267" s="6">
        <v>4</v>
      </c>
      <c r="H1267" s="6">
        <v>2</v>
      </c>
      <c r="I1267" s="6">
        <v>2</v>
      </c>
      <c r="J1267" s="6">
        <v>1</v>
      </c>
      <c r="K1267" s="74">
        <v>2</v>
      </c>
      <c r="L1267" s="74">
        <v>1</v>
      </c>
      <c r="M1267" s="74">
        <v>6</v>
      </c>
      <c r="N1267" s="74">
        <v>6</v>
      </c>
      <c r="O1267" s="123">
        <v>6</v>
      </c>
      <c r="P1267" s="32">
        <f t="shared" si="203"/>
        <v>1</v>
      </c>
      <c r="Q1267" s="6">
        <f t="shared" si="204"/>
        <v>6</v>
      </c>
      <c r="R1267" s="59">
        <f t="shared" si="205"/>
        <v>0.8571428571428571</v>
      </c>
      <c r="S1267" s="1"/>
      <c r="T1267" s="1"/>
      <c r="U1267" s="1"/>
    </row>
    <row r="1268" spans="1:21" ht="9.75" customHeight="1" x14ac:dyDescent="0.4">
      <c r="A1268" s="1"/>
      <c r="B1268" s="1" t="s">
        <v>395</v>
      </c>
      <c r="C1268" s="34"/>
      <c r="D1268" s="65" t="s">
        <v>314</v>
      </c>
      <c r="E1268" s="65">
        <f t="shared" ref="E1268:O1268" si="206">SUM(E1252:E1267)</f>
        <v>16</v>
      </c>
      <c r="F1268" s="104">
        <f t="shared" si="206"/>
        <v>8</v>
      </c>
      <c r="G1268" s="128">
        <f t="shared" si="206"/>
        <v>7</v>
      </c>
      <c r="H1268" s="128">
        <f t="shared" si="206"/>
        <v>4</v>
      </c>
      <c r="I1268" s="128">
        <f t="shared" si="206"/>
        <v>6</v>
      </c>
      <c r="J1268" s="128">
        <f t="shared" si="206"/>
        <v>6</v>
      </c>
      <c r="K1268" s="71">
        <f t="shared" si="206"/>
        <v>5</v>
      </c>
      <c r="L1268" s="71">
        <f t="shared" si="206"/>
        <v>3</v>
      </c>
      <c r="M1268" s="71">
        <f t="shared" si="206"/>
        <v>11</v>
      </c>
      <c r="N1268" s="71">
        <f t="shared" si="206"/>
        <v>13</v>
      </c>
      <c r="O1268" s="157">
        <f t="shared" si="206"/>
        <v>13</v>
      </c>
      <c r="P1268" s="104">
        <f t="shared" si="203"/>
        <v>3</v>
      </c>
      <c r="Q1268" s="128">
        <f t="shared" si="204"/>
        <v>13</v>
      </c>
      <c r="R1268" s="72">
        <f t="shared" si="205"/>
        <v>0.8125</v>
      </c>
      <c r="S1268" s="1"/>
      <c r="T1268" s="1"/>
      <c r="U1268" s="1"/>
    </row>
    <row r="1269" spans="1:21" ht="9.75" customHeight="1" x14ac:dyDescent="0.4">
      <c r="A1269" s="1"/>
      <c r="B1269" s="1"/>
      <c r="C1269" s="15" t="s">
        <v>178</v>
      </c>
      <c r="D1269" s="15" t="s">
        <v>300</v>
      </c>
      <c r="E1269" s="15"/>
      <c r="F1269" s="73"/>
      <c r="G1269" s="108"/>
      <c r="H1269" s="108"/>
      <c r="I1269" s="108"/>
      <c r="J1269" s="108"/>
      <c r="K1269" s="108"/>
      <c r="L1269" s="108"/>
      <c r="M1269" s="108"/>
      <c r="N1269" s="108"/>
      <c r="O1269" s="109"/>
      <c r="P1269" s="73"/>
      <c r="Q1269" s="108"/>
      <c r="R1269" s="188"/>
      <c r="S1269" s="1"/>
      <c r="T1269" s="1"/>
      <c r="U1269" s="1"/>
    </row>
    <row r="1270" spans="1:21" ht="9.75" customHeight="1" x14ac:dyDescent="0.4">
      <c r="A1270" s="1"/>
      <c r="B1270" s="1"/>
      <c r="C1270" s="17"/>
      <c r="D1270" s="17" t="s">
        <v>301</v>
      </c>
      <c r="E1270" s="17"/>
      <c r="F1270" s="32"/>
      <c r="G1270" s="6"/>
      <c r="H1270" s="6"/>
      <c r="I1270" s="6"/>
      <c r="J1270" s="6"/>
      <c r="K1270" s="6"/>
      <c r="L1270" s="6"/>
      <c r="M1270" s="6"/>
      <c r="N1270" s="6"/>
      <c r="O1270" s="31"/>
      <c r="P1270" s="32"/>
      <c r="Q1270" s="6"/>
      <c r="R1270" s="59"/>
      <c r="S1270" s="1"/>
      <c r="T1270" s="1"/>
      <c r="U1270" s="1"/>
    </row>
    <row r="1271" spans="1:21" ht="9.75" customHeight="1" x14ac:dyDescent="0.4">
      <c r="A1271" s="1"/>
      <c r="B1271" s="1"/>
      <c r="C1271" s="17"/>
      <c r="D1271" s="17" t="s">
        <v>303</v>
      </c>
      <c r="E1271" s="17"/>
      <c r="F1271" s="32"/>
      <c r="G1271" s="6"/>
      <c r="H1271" s="6"/>
      <c r="I1271" s="6"/>
      <c r="J1271" s="6"/>
      <c r="K1271" s="6"/>
      <c r="L1271" s="6"/>
      <c r="M1271" s="6"/>
      <c r="N1271" s="6"/>
      <c r="O1271" s="31"/>
      <c r="P1271" s="32"/>
      <c r="Q1271" s="6"/>
      <c r="R1271" s="59"/>
      <c r="S1271" s="1"/>
      <c r="T1271" s="1"/>
      <c r="U1271" s="1"/>
    </row>
    <row r="1272" spans="1:21" ht="9.75" customHeight="1" x14ac:dyDescent="0.4">
      <c r="A1272" s="1"/>
      <c r="B1272" s="1"/>
      <c r="C1272" s="17"/>
      <c r="D1272" s="17" t="s">
        <v>369</v>
      </c>
      <c r="E1272" s="17"/>
      <c r="F1272" s="32"/>
      <c r="G1272" s="6"/>
      <c r="H1272" s="6"/>
      <c r="I1272" s="6"/>
      <c r="J1272" s="6"/>
      <c r="K1272" s="6"/>
      <c r="L1272" s="6"/>
      <c r="M1272" s="6"/>
      <c r="N1272" s="6"/>
      <c r="O1272" s="31"/>
      <c r="P1272" s="32"/>
      <c r="Q1272" s="6"/>
      <c r="R1272" s="59"/>
      <c r="S1272" s="1"/>
      <c r="T1272" s="1"/>
      <c r="U1272" s="1"/>
    </row>
    <row r="1273" spans="1:21" ht="9.75" customHeight="1" x14ac:dyDescent="0.4">
      <c r="A1273" s="1"/>
      <c r="B1273" s="1"/>
      <c r="C1273" s="17"/>
      <c r="D1273" s="17" t="s">
        <v>369</v>
      </c>
      <c r="E1273" s="17"/>
      <c r="F1273" s="32"/>
      <c r="G1273" s="6"/>
      <c r="H1273" s="6"/>
      <c r="I1273" s="6"/>
      <c r="J1273" s="6"/>
      <c r="K1273" s="6"/>
      <c r="L1273" s="6"/>
      <c r="M1273" s="6"/>
      <c r="N1273" s="6"/>
      <c r="O1273" s="31"/>
      <c r="P1273" s="32"/>
      <c r="Q1273" s="6"/>
      <c r="R1273" s="59"/>
      <c r="S1273" s="1"/>
      <c r="T1273" s="1"/>
      <c r="U1273" s="1"/>
    </row>
    <row r="1274" spans="1:21" ht="9.75" customHeight="1" x14ac:dyDescent="0.4">
      <c r="A1274" s="1"/>
      <c r="B1274" s="1"/>
      <c r="C1274" s="17"/>
      <c r="D1274" s="17" t="s">
        <v>308</v>
      </c>
      <c r="E1274" s="17">
        <v>8</v>
      </c>
      <c r="F1274" s="32">
        <v>6</v>
      </c>
      <c r="G1274" s="6">
        <v>5</v>
      </c>
      <c r="H1274" s="6">
        <v>4</v>
      </c>
      <c r="I1274" s="6">
        <v>2</v>
      </c>
      <c r="J1274" s="6">
        <v>5</v>
      </c>
      <c r="K1274" s="74">
        <v>6</v>
      </c>
      <c r="L1274" s="74">
        <v>6</v>
      </c>
      <c r="M1274" s="74">
        <v>7</v>
      </c>
      <c r="N1274" s="74">
        <v>6</v>
      </c>
      <c r="O1274" s="123">
        <v>8</v>
      </c>
      <c r="P1274" s="32">
        <f>MIN(F1274:O1274)</f>
        <v>2</v>
      </c>
      <c r="Q1274" s="6">
        <f>E1274-P1274</f>
        <v>6</v>
      </c>
      <c r="R1274" s="59">
        <f>Q1274/E1274</f>
        <v>0.75</v>
      </c>
      <c r="S1274" s="1"/>
      <c r="T1274" s="1"/>
      <c r="U1274" s="1"/>
    </row>
    <row r="1275" spans="1:21" ht="9.75" customHeight="1" x14ac:dyDescent="0.4">
      <c r="A1275" s="1"/>
      <c r="B1275" s="1"/>
      <c r="C1275" s="17"/>
      <c r="D1275" s="17" t="s">
        <v>377</v>
      </c>
      <c r="E1275" s="17"/>
      <c r="F1275" s="32"/>
      <c r="G1275" s="6"/>
      <c r="H1275" s="6"/>
      <c r="I1275" s="6"/>
      <c r="J1275" s="6"/>
      <c r="K1275" s="74"/>
      <c r="L1275" s="74"/>
      <c r="M1275" s="74"/>
      <c r="N1275" s="74"/>
      <c r="O1275" s="123"/>
      <c r="P1275" s="32"/>
      <c r="Q1275" s="6"/>
      <c r="R1275" s="59"/>
      <c r="S1275" s="1"/>
      <c r="T1275" s="1"/>
      <c r="U1275" s="1"/>
    </row>
    <row r="1276" spans="1:21" ht="9.75" customHeight="1" x14ac:dyDescent="0.4">
      <c r="A1276" s="1"/>
      <c r="B1276" s="1"/>
      <c r="C1276" s="17"/>
      <c r="D1276" s="17" t="s">
        <v>377</v>
      </c>
      <c r="E1276" s="17"/>
      <c r="F1276" s="32"/>
      <c r="G1276" s="6"/>
      <c r="H1276" s="6"/>
      <c r="I1276" s="6"/>
      <c r="J1276" s="6"/>
      <c r="K1276" s="74"/>
      <c r="L1276" s="74"/>
      <c r="M1276" s="74"/>
      <c r="N1276" s="74"/>
      <c r="O1276" s="123"/>
      <c r="P1276" s="32"/>
      <c r="Q1276" s="6"/>
      <c r="R1276" s="59"/>
      <c r="S1276" s="1"/>
      <c r="T1276" s="1"/>
      <c r="U1276" s="1"/>
    </row>
    <row r="1277" spans="1:21" ht="9.75" customHeight="1" x14ac:dyDescent="0.4">
      <c r="A1277" s="1"/>
      <c r="B1277" s="1"/>
      <c r="C1277" s="17"/>
      <c r="D1277" s="17" t="s">
        <v>374</v>
      </c>
      <c r="E1277" s="17"/>
      <c r="F1277" s="32"/>
      <c r="G1277" s="6"/>
      <c r="H1277" s="6"/>
      <c r="I1277" s="6"/>
      <c r="J1277" s="6"/>
      <c r="K1277" s="6"/>
      <c r="L1277" s="6"/>
      <c r="M1277" s="6"/>
      <c r="N1277" s="6"/>
      <c r="O1277" s="31"/>
      <c r="P1277" s="32"/>
      <c r="Q1277" s="6"/>
      <c r="R1277" s="59"/>
      <c r="S1277" s="1"/>
      <c r="T1277" s="1"/>
      <c r="U1277" s="1"/>
    </row>
    <row r="1278" spans="1:21" ht="9.75" customHeight="1" x14ac:dyDescent="0.4">
      <c r="A1278" s="1"/>
      <c r="B1278" s="1"/>
      <c r="C1278" s="17"/>
      <c r="D1278" s="17" t="s">
        <v>374</v>
      </c>
      <c r="E1278" s="17"/>
      <c r="F1278" s="32"/>
      <c r="G1278" s="6"/>
      <c r="H1278" s="6"/>
      <c r="I1278" s="6"/>
      <c r="J1278" s="6"/>
      <c r="K1278" s="6"/>
      <c r="L1278" s="6"/>
      <c r="M1278" s="6"/>
      <c r="N1278" s="6"/>
      <c r="O1278" s="31"/>
      <c r="P1278" s="32"/>
      <c r="Q1278" s="6"/>
      <c r="R1278" s="59"/>
      <c r="S1278" s="1"/>
      <c r="T1278" s="1"/>
      <c r="U1278" s="1"/>
    </row>
    <row r="1279" spans="1:21" ht="9.75" customHeight="1" x14ac:dyDescent="0.4">
      <c r="A1279" s="1"/>
      <c r="B1279" s="1"/>
      <c r="C1279" s="17"/>
      <c r="D1279" s="17" t="s">
        <v>374</v>
      </c>
      <c r="E1279" s="17"/>
      <c r="F1279" s="32"/>
      <c r="G1279" s="6"/>
      <c r="H1279" s="6"/>
      <c r="I1279" s="6"/>
      <c r="J1279" s="6"/>
      <c r="K1279" s="6"/>
      <c r="L1279" s="6"/>
      <c r="M1279" s="6"/>
      <c r="N1279" s="6"/>
      <c r="O1279" s="31"/>
      <c r="P1279" s="32"/>
      <c r="Q1279" s="6"/>
      <c r="R1279" s="59"/>
      <c r="S1279" s="1"/>
      <c r="T1279" s="1"/>
      <c r="U1279" s="1"/>
    </row>
    <row r="1280" spans="1:21" ht="9.75" customHeight="1" x14ac:dyDescent="0.4">
      <c r="A1280" s="1"/>
      <c r="B1280" s="1"/>
      <c r="C1280" s="17"/>
      <c r="D1280" s="17" t="s">
        <v>374</v>
      </c>
      <c r="E1280" s="17"/>
      <c r="F1280" s="32"/>
      <c r="G1280" s="6"/>
      <c r="H1280" s="6"/>
      <c r="I1280" s="6"/>
      <c r="J1280" s="6"/>
      <c r="K1280" s="6"/>
      <c r="L1280" s="6"/>
      <c r="M1280" s="6"/>
      <c r="N1280" s="6"/>
      <c r="O1280" s="31"/>
      <c r="P1280" s="32"/>
      <c r="Q1280" s="6"/>
      <c r="R1280" s="59"/>
      <c r="S1280" s="1"/>
      <c r="T1280" s="1"/>
      <c r="U1280" s="1"/>
    </row>
    <row r="1281" spans="1:21" ht="9.75" customHeight="1" x14ac:dyDescent="0.4">
      <c r="A1281" s="1"/>
      <c r="B1281" s="1"/>
      <c r="C1281" s="17"/>
      <c r="D1281" s="17" t="s">
        <v>310</v>
      </c>
      <c r="E1281" s="17">
        <v>1</v>
      </c>
      <c r="F1281" s="32">
        <v>0</v>
      </c>
      <c r="G1281" s="6">
        <v>0</v>
      </c>
      <c r="H1281" s="6">
        <v>0</v>
      </c>
      <c r="I1281" s="6">
        <v>0</v>
      </c>
      <c r="J1281" s="6">
        <v>0</v>
      </c>
      <c r="K1281" s="74">
        <v>0</v>
      </c>
      <c r="L1281" s="74">
        <v>0</v>
      </c>
      <c r="M1281" s="74">
        <v>0</v>
      </c>
      <c r="N1281" s="74">
        <v>0</v>
      </c>
      <c r="O1281" s="123">
        <v>0</v>
      </c>
      <c r="P1281" s="32">
        <f>MIN(F1281:O1281)</f>
        <v>0</v>
      </c>
      <c r="Q1281" s="6">
        <f>E1281-P1281</f>
        <v>1</v>
      </c>
      <c r="R1281" s="59">
        <f>Q1281/E1281</f>
        <v>1</v>
      </c>
      <c r="S1281" s="1"/>
      <c r="T1281" s="1"/>
      <c r="U1281" s="1"/>
    </row>
    <row r="1282" spans="1:21" ht="9.75" customHeight="1" x14ac:dyDescent="0.4">
      <c r="A1282" s="1"/>
      <c r="B1282" s="1"/>
      <c r="C1282" s="17"/>
      <c r="D1282" s="17" t="s">
        <v>311</v>
      </c>
      <c r="E1282" s="17"/>
      <c r="F1282" s="32"/>
      <c r="G1282" s="6"/>
      <c r="H1282" s="6"/>
      <c r="I1282" s="6"/>
      <c r="J1282" s="6"/>
      <c r="K1282" s="6"/>
      <c r="L1282" s="6"/>
      <c r="M1282" s="6"/>
      <c r="N1282" s="6"/>
      <c r="O1282" s="31"/>
      <c r="P1282" s="32"/>
      <c r="Q1282" s="6"/>
      <c r="R1282" s="59"/>
      <c r="S1282" s="1"/>
      <c r="T1282" s="1"/>
      <c r="U1282" s="1"/>
    </row>
    <row r="1283" spans="1:21" ht="9.75" customHeight="1" x14ac:dyDescent="0.4">
      <c r="A1283" s="1"/>
      <c r="B1283" s="1"/>
      <c r="C1283" s="17"/>
      <c r="D1283" s="17" t="s">
        <v>312</v>
      </c>
      <c r="E1283" s="17"/>
      <c r="F1283" s="32"/>
      <c r="G1283" s="6"/>
      <c r="H1283" s="6"/>
      <c r="I1283" s="6"/>
      <c r="J1283" s="6"/>
      <c r="K1283" s="6"/>
      <c r="L1283" s="6"/>
      <c r="M1283" s="6"/>
      <c r="N1283" s="6"/>
      <c r="O1283" s="31"/>
      <c r="P1283" s="32"/>
      <c r="Q1283" s="6"/>
      <c r="R1283" s="59"/>
      <c r="S1283" s="1"/>
      <c r="T1283" s="1"/>
      <c r="U1283" s="1"/>
    </row>
    <row r="1284" spans="1:21" ht="9.75" customHeight="1" x14ac:dyDescent="0.4">
      <c r="A1284" s="1"/>
      <c r="B1284" s="1"/>
      <c r="C1284" s="17"/>
      <c r="D1284" s="17" t="s">
        <v>313</v>
      </c>
      <c r="E1284" s="17"/>
      <c r="F1284" s="32"/>
      <c r="G1284" s="6"/>
      <c r="H1284" s="6"/>
      <c r="I1284" s="6"/>
      <c r="J1284" s="6"/>
      <c r="K1284" s="6"/>
      <c r="L1284" s="6"/>
      <c r="M1284" s="6"/>
      <c r="N1284" s="6"/>
      <c r="O1284" s="31"/>
      <c r="P1284" s="32"/>
      <c r="Q1284" s="6"/>
      <c r="R1284" s="59"/>
      <c r="S1284" s="1"/>
      <c r="T1284" s="1"/>
      <c r="U1284" s="1"/>
    </row>
    <row r="1285" spans="1:21" ht="9.75" customHeight="1" x14ac:dyDescent="0.4">
      <c r="A1285" s="1"/>
      <c r="B1285" s="1" t="s">
        <v>395</v>
      </c>
      <c r="C1285" s="34"/>
      <c r="D1285" s="65" t="s">
        <v>314</v>
      </c>
      <c r="E1285" s="65">
        <f t="shared" ref="E1285:O1285" si="207">SUM(E1269:E1284)</f>
        <v>9</v>
      </c>
      <c r="F1285" s="104">
        <f t="shared" si="207"/>
        <v>6</v>
      </c>
      <c r="G1285" s="128">
        <f t="shared" si="207"/>
        <v>5</v>
      </c>
      <c r="H1285" s="128">
        <f t="shared" si="207"/>
        <v>4</v>
      </c>
      <c r="I1285" s="128">
        <f t="shared" si="207"/>
        <v>2</v>
      </c>
      <c r="J1285" s="128">
        <f t="shared" si="207"/>
        <v>5</v>
      </c>
      <c r="K1285" s="128">
        <f t="shared" si="207"/>
        <v>6</v>
      </c>
      <c r="L1285" s="128">
        <f t="shared" si="207"/>
        <v>6</v>
      </c>
      <c r="M1285" s="128">
        <f t="shared" si="207"/>
        <v>7</v>
      </c>
      <c r="N1285" s="128">
        <f t="shared" si="207"/>
        <v>6</v>
      </c>
      <c r="O1285" s="129">
        <f t="shared" si="207"/>
        <v>8</v>
      </c>
      <c r="P1285" s="104">
        <f>MIN(F1285:O1285)</f>
        <v>2</v>
      </c>
      <c r="Q1285" s="128">
        <f>E1285-P1285</f>
        <v>7</v>
      </c>
      <c r="R1285" s="72">
        <f>Q1285/E1285</f>
        <v>0.77777777777777779</v>
      </c>
      <c r="S1285" s="1"/>
      <c r="T1285" s="1"/>
      <c r="U1285" s="1"/>
    </row>
    <row r="1286" spans="1:21" ht="9.75" customHeight="1" x14ac:dyDescent="0.4">
      <c r="A1286" s="1"/>
      <c r="B1286" s="1"/>
      <c r="C1286" s="336" t="s">
        <v>188</v>
      </c>
      <c r="D1286" s="336" t="s">
        <v>300</v>
      </c>
      <c r="E1286" s="336"/>
      <c r="F1286" s="337"/>
      <c r="G1286" s="338"/>
      <c r="H1286" s="338"/>
      <c r="I1286" s="338"/>
      <c r="J1286" s="338"/>
      <c r="K1286" s="338"/>
      <c r="L1286" s="338"/>
      <c r="M1286" s="338"/>
      <c r="N1286" s="338"/>
      <c r="O1286" s="339"/>
      <c r="P1286" s="30"/>
      <c r="Q1286" s="340"/>
      <c r="R1286" s="341"/>
      <c r="S1286" s="1"/>
      <c r="T1286" s="1"/>
      <c r="U1286" s="1"/>
    </row>
    <row r="1287" spans="1:21" ht="9.75" customHeight="1" x14ac:dyDescent="0.4">
      <c r="A1287" s="1"/>
      <c r="B1287" s="1"/>
      <c r="C1287" s="342"/>
      <c r="D1287" s="342" t="s">
        <v>301</v>
      </c>
      <c r="E1287" s="342"/>
      <c r="F1287" s="30"/>
      <c r="G1287" s="340"/>
      <c r="H1287" s="340"/>
      <c r="I1287" s="340"/>
      <c r="J1287" s="340"/>
      <c r="K1287" s="340"/>
      <c r="L1287" s="340"/>
      <c r="M1287" s="340"/>
      <c r="N1287" s="340"/>
      <c r="O1287" s="343"/>
      <c r="P1287" s="30"/>
      <c r="Q1287" s="340"/>
      <c r="R1287" s="341"/>
      <c r="S1287" s="1"/>
      <c r="T1287" s="1"/>
      <c r="U1287" s="1"/>
    </row>
    <row r="1288" spans="1:21" ht="9.75" customHeight="1" x14ac:dyDescent="0.4">
      <c r="A1288" s="1"/>
      <c r="B1288" s="1"/>
      <c r="C1288" s="342" t="s">
        <v>446</v>
      </c>
      <c r="D1288" s="342" t="s">
        <v>303</v>
      </c>
      <c r="E1288" s="342"/>
      <c r="F1288" s="30"/>
      <c r="G1288" s="340"/>
      <c r="H1288" s="340"/>
      <c r="I1288" s="340"/>
      <c r="J1288" s="340"/>
      <c r="K1288" s="340"/>
      <c r="L1288" s="340"/>
      <c r="M1288" s="340"/>
      <c r="N1288" s="340"/>
      <c r="O1288" s="343"/>
      <c r="P1288" s="30"/>
      <c r="Q1288" s="340"/>
      <c r="R1288" s="341"/>
      <c r="S1288" s="1"/>
      <c r="T1288" s="1"/>
      <c r="U1288" s="1"/>
    </row>
    <row r="1289" spans="1:21" ht="9.75" customHeight="1" x14ac:dyDescent="0.4">
      <c r="A1289" s="1"/>
      <c r="B1289" s="1"/>
      <c r="C1289" s="342" t="s">
        <v>447</v>
      </c>
      <c r="D1289" s="342" t="s">
        <v>369</v>
      </c>
      <c r="E1289" s="342"/>
      <c r="F1289" s="30"/>
      <c r="G1289" s="340"/>
      <c r="H1289" s="340"/>
      <c r="I1289" s="340"/>
      <c r="J1289" s="340"/>
      <c r="K1289" s="340"/>
      <c r="L1289" s="340"/>
      <c r="M1289" s="340"/>
      <c r="N1289" s="340"/>
      <c r="O1289" s="343"/>
      <c r="P1289" s="30"/>
      <c r="Q1289" s="340"/>
      <c r="R1289" s="341"/>
      <c r="S1289" s="1"/>
      <c r="T1289" s="1"/>
      <c r="U1289" s="1"/>
    </row>
    <row r="1290" spans="1:21" ht="9.75" customHeight="1" x14ac:dyDescent="0.4">
      <c r="A1290" s="1"/>
      <c r="B1290" s="1"/>
      <c r="C1290" s="342" t="s">
        <v>448</v>
      </c>
      <c r="D1290" s="342" t="s">
        <v>369</v>
      </c>
      <c r="E1290" s="342"/>
      <c r="F1290" s="30"/>
      <c r="G1290" s="340"/>
      <c r="H1290" s="340"/>
      <c r="I1290" s="340"/>
      <c r="J1290" s="340"/>
      <c r="K1290" s="340"/>
      <c r="L1290" s="340"/>
      <c r="M1290" s="340"/>
      <c r="N1290" s="340"/>
      <c r="O1290" s="343"/>
      <c r="P1290" s="30"/>
      <c r="Q1290" s="340"/>
      <c r="R1290" s="341"/>
      <c r="S1290" s="1"/>
      <c r="T1290" s="1"/>
      <c r="U1290" s="1"/>
    </row>
    <row r="1291" spans="1:21" ht="9.75" customHeight="1" x14ac:dyDescent="0.4">
      <c r="A1291" s="1"/>
      <c r="B1291" s="1"/>
      <c r="C1291" s="342" t="s">
        <v>449</v>
      </c>
      <c r="D1291" s="342" t="s">
        <v>308</v>
      </c>
      <c r="E1291" s="342"/>
      <c r="F1291" s="30"/>
      <c r="G1291" s="340"/>
      <c r="H1291" s="340"/>
      <c r="I1291" s="340"/>
      <c r="J1291" s="340"/>
      <c r="K1291" s="340"/>
      <c r="L1291" s="340"/>
      <c r="M1291" s="340"/>
      <c r="N1291" s="340"/>
      <c r="O1291" s="343"/>
      <c r="P1291" s="30"/>
      <c r="Q1291" s="340"/>
      <c r="R1291" s="341"/>
      <c r="S1291" s="1"/>
      <c r="T1291" s="1"/>
      <c r="U1291" s="1"/>
    </row>
    <row r="1292" spans="1:21" ht="9.75" customHeight="1" x14ac:dyDescent="0.4">
      <c r="A1292" s="1"/>
      <c r="B1292" s="1"/>
      <c r="C1292" s="342"/>
      <c r="D1292" s="342" t="s">
        <v>450</v>
      </c>
      <c r="E1292" s="342"/>
      <c r="F1292" s="30"/>
      <c r="G1292" s="340"/>
      <c r="H1292" s="340"/>
      <c r="I1292" s="340"/>
      <c r="J1292" s="340"/>
      <c r="K1292" s="340"/>
      <c r="L1292" s="340"/>
      <c r="M1292" s="340"/>
      <c r="N1292" s="340"/>
      <c r="O1292" s="343"/>
      <c r="P1292" s="30"/>
      <c r="Q1292" s="340"/>
      <c r="R1292" s="341"/>
      <c r="S1292" s="1"/>
      <c r="T1292" s="1"/>
      <c r="U1292" s="1"/>
    </row>
    <row r="1293" spans="1:21" ht="9.75" customHeight="1" x14ac:dyDescent="0.4">
      <c r="A1293" s="1"/>
      <c r="B1293" s="1"/>
      <c r="C1293" s="342"/>
      <c r="D1293" s="342" t="s">
        <v>374</v>
      </c>
      <c r="E1293" s="342"/>
      <c r="F1293" s="30"/>
      <c r="G1293" s="340"/>
      <c r="H1293" s="340"/>
      <c r="I1293" s="340"/>
      <c r="J1293" s="340"/>
      <c r="K1293" s="340"/>
      <c r="L1293" s="340"/>
      <c r="M1293" s="340"/>
      <c r="N1293" s="340"/>
      <c r="O1293" s="343"/>
      <c r="P1293" s="30"/>
      <c r="Q1293" s="340"/>
      <c r="R1293" s="341"/>
      <c r="S1293" s="1"/>
      <c r="T1293" s="1"/>
      <c r="U1293" s="1"/>
    </row>
    <row r="1294" spans="1:21" ht="9.75" customHeight="1" x14ac:dyDescent="0.4">
      <c r="A1294" s="1"/>
      <c r="B1294" s="1"/>
      <c r="C1294" s="342"/>
      <c r="D1294" s="342" t="s">
        <v>374</v>
      </c>
      <c r="E1294" s="342"/>
      <c r="F1294" s="30"/>
      <c r="G1294" s="340"/>
      <c r="H1294" s="340"/>
      <c r="I1294" s="340"/>
      <c r="J1294" s="340"/>
      <c r="K1294" s="340"/>
      <c r="L1294" s="340"/>
      <c r="M1294" s="340"/>
      <c r="N1294" s="340"/>
      <c r="O1294" s="343"/>
      <c r="P1294" s="30"/>
      <c r="Q1294" s="340"/>
      <c r="R1294" s="341"/>
      <c r="S1294" s="1"/>
      <c r="T1294" s="1"/>
      <c r="U1294" s="1"/>
    </row>
    <row r="1295" spans="1:21" ht="9.75" customHeight="1" x14ac:dyDescent="0.4">
      <c r="A1295" s="1"/>
      <c r="B1295" s="1"/>
      <c r="C1295" s="342"/>
      <c r="D1295" s="342" t="s">
        <v>374</v>
      </c>
      <c r="E1295" s="342"/>
      <c r="F1295" s="30"/>
      <c r="G1295" s="340"/>
      <c r="H1295" s="340"/>
      <c r="I1295" s="340"/>
      <c r="J1295" s="340"/>
      <c r="K1295" s="340"/>
      <c r="L1295" s="340"/>
      <c r="M1295" s="340"/>
      <c r="N1295" s="340"/>
      <c r="O1295" s="343"/>
      <c r="P1295" s="30"/>
      <c r="Q1295" s="340"/>
      <c r="R1295" s="341"/>
      <c r="S1295" s="1"/>
      <c r="T1295" s="1"/>
      <c r="U1295" s="1"/>
    </row>
    <row r="1296" spans="1:21" ht="9.75" customHeight="1" x14ac:dyDescent="0.4">
      <c r="A1296" s="1"/>
      <c r="B1296" s="1"/>
      <c r="C1296" s="342"/>
      <c r="D1296" s="342" t="s">
        <v>374</v>
      </c>
      <c r="E1296" s="342"/>
      <c r="F1296" s="30"/>
      <c r="G1296" s="340"/>
      <c r="H1296" s="340"/>
      <c r="I1296" s="340"/>
      <c r="J1296" s="340"/>
      <c r="K1296" s="340"/>
      <c r="L1296" s="340"/>
      <c r="M1296" s="340"/>
      <c r="N1296" s="340"/>
      <c r="O1296" s="343"/>
      <c r="P1296" s="30"/>
      <c r="Q1296" s="340"/>
      <c r="R1296" s="341"/>
      <c r="S1296" s="1"/>
      <c r="T1296" s="1"/>
      <c r="U1296" s="1"/>
    </row>
    <row r="1297" spans="1:21" ht="9.75" customHeight="1" x14ac:dyDescent="0.4">
      <c r="A1297" s="1"/>
      <c r="B1297" s="1"/>
      <c r="C1297" s="342"/>
      <c r="D1297" s="342" t="s">
        <v>374</v>
      </c>
      <c r="E1297" s="342"/>
      <c r="F1297" s="30"/>
      <c r="G1297" s="340"/>
      <c r="H1297" s="340"/>
      <c r="I1297" s="340"/>
      <c r="J1297" s="340"/>
      <c r="K1297" s="340"/>
      <c r="L1297" s="340"/>
      <c r="M1297" s="340"/>
      <c r="N1297" s="340"/>
      <c r="O1297" s="343"/>
      <c r="P1297" s="30"/>
      <c r="Q1297" s="340"/>
      <c r="R1297" s="341"/>
      <c r="S1297" s="1"/>
      <c r="T1297" s="1"/>
      <c r="U1297" s="1"/>
    </row>
    <row r="1298" spans="1:21" ht="9.75" customHeight="1" x14ac:dyDescent="0.4">
      <c r="A1298" s="1"/>
      <c r="B1298" s="1"/>
      <c r="C1298" s="342"/>
      <c r="D1298" s="342" t="s">
        <v>310</v>
      </c>
      <c r="E1298" s="342"/>
      <c r="F1298" s="30"/>
      <c r="G1298" s="340"/>
      <c r="H1298" s="340"/>
      <c r="I1298" s="340"/>
      <c r="J1298" s="340"/>
      <c r="K1298" s="340"/>
      <c r="L1298" s="340"/>
      <c r="M1298" s="340"/>
      <c r="N1298" s="340"/>
      <c r="O1298" s="343"/>
      <c r="P1298" s="30"/>
      <c r="Q1298" s="340"/>
      <c r="R1298" s="341"/>
      <c r="S1298" s="1"/>
      <c r="T1298" s="1"/>
      <c r="U1298" s="1"/>
    </row>
    <row r="1299" spans="1:21" ht="9.75" customHeight="1" x14ac:dyDescent="0.4">
      <c r="A1299" s="1"/>
      <c r="B1299" s="1"/>
      <c r="C1299" s="342"/>
      <c r="D1299" s="342" t="s">
        <v>311</v>
      </c>
      <c r="E1299" s="342"/>
      <c r="F1299" s="30"/>
      <c r="G1299" s="340"/>
      <c r="H1299" s="340"/>
      <c r="I1299" s="340"/>
      <c r="J1299" s="340"/>
      <c r="K1299" s="340"/>
      <c r="L1299" s="340"/>
      <c r="M1299" s="340"/>
      <c r="N1299" s="340"/>
      <c r="O1299" s="343"/>
      <c r="P1299" s="30"/>
      <c r="Q1299" s="340"/>
      <c r="R1299" s="341"/>
      <c r="S1299" s="1"/>
      <c r="T1299" s="1"/>
      <c r="U1299" s="1"/>
    </row>
    <row r="1300" spans="1:21" ht="9.75" customHeight="1" x14ac:dyDescent="0.4">
      <c r="A1300" s="1"/>
      <c r="B1300" s="1"/>
      <c r="C1300" s="342"/>
      <c r="D1300" s="342" t="s">
        <v>312</v>
      </c>
      <c r="E1300" s="342"/>
      <c r="F1300" s="30"/>
      <c r="G1300" s="340"/>
      <c r="H1300" s="340"/>
      <c r="I1300" s="340"/>
      <c r="J1300" s="340"/>
      <c r="K1300" s="340"/>
      <c r="L1300" s="340"/>
      <c r="M1300" s="340"/>
      <c r="N1300" s="340"/>
      <c r="O1300" s="343"/>
      <c r="P1300" s="30"/>
      <c r="Q1300" s="340"/>
      <c r="R1300" s="341"/>
      <c r="S1300" s="1"/>
      <c r="T1300" s="1"/>
      <c r="U1300" s="1"/>
    </row>
    <row r="1301" spans="1:21" ht="9.75" customHeight="1" x14ac:dyDescent="0.4">
      <c r="A1301" s="1"/>
      <c r="B1301" s="1"/>
      <c r="C1301" s="342"/>
      <c r="D1301" s="342" t="s">
        <v>313</v>
      </c>
      <c r="E1301" s="342"/>
      <c r="F1301" s="30"/>
      <c r="G1301" s="340"/>
      <c r="H1301" s="340"/>
      <c r="I1301" s="340"/>
      <c r="J1301" s="340"/>
      <c r="K1301" s="340"/>
      <c r="L1301" s="340"/>
      <c r="M1301" s="340"/>
      <c r="N1301" s="340"/>
      <c r="O1301" s="343"/>
      <c r="P1301" s="30"/>
      <c r="Q1301" s="340"/>
      <c r="R1301" s="341"/>
      <c r="S1301" s="1"/>
      <c r="T1301" s="1"/>
      <c r="U1301" s="1"/>
    </row>
    <row r="1302" spans="1:21" ht="9.75" customHeight="1" x14ac:dyDescent="0.4">
      <c r="A1302" s="1"/>
      <c r="B1302" s="1"/>
      <c r="C1302" s="344"/>
      <c r="D1302" s="345" t="s">
        <v>314</v>
      </c>
      <c r="E1302" s="345"/>
      <c r="F1302" s="346"/>
      <c r="G1302" s="347"/>
      <c r="H1302" s="347"/>
      <c r="I1302" s="347"/>
      <c r="J1302" s="347"/>
      <c r="K1302" s="347"/>
      <c r="L1302" s="347"/>
      <c r="M1302" s="347"/>
      <c r="N1302" s="347"/>
      <c r="O1302" s="348"/>
      <c r="P1302" s="346"/>
      <c r="Q1302" s="347"/>
      <c r="R1302" s="349"/>
      <c r="S1302" s="1"/>
      <c r="T1302" s="1"/>
      <c r="U1302" s="1"/>
    </row>
    <row r="1303" spans="1:21" ht="9.75" customHeight="1" x14ac:dyDescent="0.4">
      <c r="A1303" s="1"/>
      <c r="B1303" s="1"/>
      <c r="C1303" s="15" t="s">
        <v>57</v>
      </c>
      <c r="D1303" s="15" t="s">
        <v>300</v>
      </c>
      <c r="E1303" s="15"/>
      <c r="F1303" s="73"/>
      <c r="G1303" s="108"/>
      <c r="H1303" s="108"/>
      <c r="I1303" s="108"/>
      <c r="J1303" s="108"/>
      <c r="K1303" s="108"/>
      <c r="L1303" s="108"/>
      <c r="M1303" s="108"/>
      <c r="N1303" s="108"/>
      <c r="O1303" s="109"/>
      <c r="P1303" s="73"/>
      <c r="Q1303" s="108"/>
      <c r="R1303" s="188"/>
      <c r="S1303" s="1"/>
      <c r="T1303" s="1"/>
      <c r="U1303" s="1"/>
    </row>
    <row r="1304" spans="1:21" ht="9.75" customHeight="1" x14ac:dyDescent="0.4">
      <c r="A1304" s="1"/>
      <c r="B1304" s="1"/>
      <c r="C1304" s="17"/>
      <c r="D1304" s="17" t="s">
        <v>301</v>
      </c>
      <c r="E1304" s="17"/>
      <c r="F1304" s="32"/>
      <c r="G1304" s="6"/>
      <c r="H1304" s="6"/>
      <c r="I1304" s="6"/>
      <c r="J1304" s="6"/>
      <c r="K1304" s="6"/>
      <c r="L1304" s="6"/>
      <c r="M1304" s="6"/>
      <c r="N1304" s="6"/>
      <c r="O1304" s="31"/>
      <c r="P1304" s="32"/>
      <c r="Q1304" s="6"/>
      <c r="R1304" s="59"/>
      <c r="S1304" s="1"/>
      <c r="T1304" s="1"/>
      <c r="U1304" s="1"/>
    </row>
    <row r="1305" spans="1:21" ht="9.75" customHeight="1" x14ac:dyDescent="0.4">
      <c r="A1305" s="1"/>
      <c r="B1305" s="1"/>
      <c r="C1305" s="17"/>
      <c r="D1305" s="17" t="s">
        <v>303</v>
      </c>
      <c r="E1305" s="17"/>
      <c r="F1305" s="32"/>
      <c r="G1305" s="6"/>
      <c r="H1305" s="6"/>
      <c r="I1305" s="6"/>
      <c r="J1305" s="6"/>
      <c r="K1305" s="6"/>
      <c r="L1305" s="6"/>
      <c r="M1305" s="6"/>
      <c r="N1305" s="6"/>
      <c r="O1305" s="31"/>
      <c r="P1305" s="32"/>
      <c r="Q1305" s="6"/>
      <c r="R1305" s="59"/>
      <c r="S1305" s="1"/>
      <c r="T1305" s="1"/>
      <c r="U1305" s="1"/>
    </row>
    <row r="1306" spans="1:21" ht="9.75" customHeight="1" x14ac:dyDescent="0.4">
      <c r="A1306" s="1"/>
      <c r="B1306" s="1"/>
      <c r="C1306" s="17"/>
      <c r="D1306" s="17" t="s">
        <v>369</v>
      </c>
      <c r="E1306" s="17"/>
      <c r="F1306" s="32"/>
      <c r="G1306" s="6"/>
      <c r="H1306" s="6"/>
      <c r="I1306" s="6"/>
      <c r="J1306" s="6"/>
      <c r="K1306" s="6"/>
      <c r="L1306" s="6"/>
      <c r="M1306" s="6"/>
      <c r="N1306" s="6"/>
      <c r="O1306" s="31"/>
      <c r="P1306" s="32"/>
      <c r="Q1306" s="6"/>
      <c r="R1306" s="59"/>
      <c r="S1306" s="1"/>
      <c r="T1306" s="1"/>
      <c r="U1306" s="1"/>
    </row>
    <row r="1307" spans="1:21" ht="9.75" customHeight="1" x14ac:dyDescent="0.4">
      <c r="A1307" s="1"/>
      <c r="B1307" s="1"/>
      <c r="C1307" s="17"/>
      <c r="D1307" s="17" t="s">
        <v>369</v>
      </c>
      <c r="E1307" s="17"/>
      <c r="F1307" s="32"/>
      <c r="G1307" s="6"/>
      <c r="H1307" s="6"/>
      <c r="I1307" s="6"/>
      <c r="J1307" s="6"/>
      <c r="K1307" s="6"/>
      <c r="L1307" s="6"/>
      <c r="M1307" s="6"/>
      <c r="N1307" s="6"/>
      <c r="O1307" s="31"/>
      <c r="P1307" s="32"/>
      <c r="Q1307" s="6"/>
      <c r="R1307" s="59"/>
      <c r="S1307" s="1"/>
      <c r="T1307" s="1"/>
      <c r="U1307" s="1"/>
    </row>
    <row r="1308" spans="1:21" ht="9.75" customHeight="1" x14ac:dyDescent="0.4">
      <c r="A1308" s="1"/>
      <c r="B1308" s="1"/>
      <c r="C1308" s="17"/>
      <c r="D1308" s="17" t="s">
        <v>308</v>
      </c>
      <c r="E1308" s="17"/>
      <c r="F1308" s="32"/>
      <c r="G1308" s="6"/>
      <c r="H1308" s="6"/>
      <c r="I1308" s="6"/>
      <c r="J1308" s="6"/>
      <c r="K1308" s="6"/>
      <c r="L1308" s="6"/>
      <c r="M1308" s="6"/>
      <c r="N1308" s="6"/>
      <c r="O1308" s="31"/>
      <c r="P1308" s="32"/>
      <c r="Q1308" s="6"/>
      <c r="R1308" s="59"/>
      <c r="S1308" s="1"/>
      <c r="T1308" s="1"/>
      <c r="U1308" s="1"/>
    </row>
    <row r="1309" spans="1:21" ht="9.75" customHeight="1" x14ac:dyDescent="0.4">
      <c r="A1309" s="1"/>
      <c r="B1309" s="1"/>
      <c r="C1309" s="17"/>
      <c r="D1309" s="17" t="s">
        <v>374</v>
      </c>
      <c r="E1309" s="17"/>
      <c r="F1309" s="32"/>
      <c r="G1309" s="6"/>
      <c r="H1309" s="6"/>
      <c r="I1309" s="6"/>
      <c r="J1309" s="6"/>
      <c r="K1309" s="6"/>
      <c r="L1309" s="6"/>
      <c r="M1309" s="6"/>
      <c r="N1309" s="6"/>
      <c r="O1309" s="31"/>
      <c r="P1309" s="32"/>
      <c r="Q1309" s="6"/>
      <c r="R1309" s="59"/>
      <c r="S1309" s="1"/>
      <c r="T1309" s="1"/>
      <c r="U1309" s="1"/>
    </row>
    <row r="1310" spans="1:21" ht="9.75" customHeight="1" x14ac:dyDescent="0.4">
      <c r="A1310" s="1"/>
      <c r="B1310" s="1"/>
      <c r="C1310" s="17"/>
      <c r="D1310" s="17" t="s">
        <v>374</v>
      </c>
      <c r="E1310" s="17"/>
      <c r="F1310" s="32"/>
      <c r="G1310" s="6"/>
      <c r="H1310" s="6"/>
      <c r="I1310" s="6"/>
      <c r="J1310" s="6"/>
      <c r="K1310" s="6"/>
      <c r="L1310" s="6"/>
      <c r="M1310" s="6"/>
      <c r="N1310" s="6"/>
      <c r="O1310" s="31"/>
      <c r="P1310" s="32"/>
      <c r="Q1310" s="6"/>
      <c r="R1310" s="59"/>
      <c r="S1310" s="1"/>
      <c r="T1310" s="1"/>
      <c r="U1310" s="1"/>
    </row>
    <row r="1311" spans="1:21" ht="9.75" customHeight="1" x14ac:dyDescent="0.4">
      <c r="A1311" s="1"/>
      <c r="B1311" s="1"/>
      <c r="C1311" s="17"/>
      <c r="D1311" s="17" t="s">
        <v>374</v>
      </c>
      <c r="E1311" s="17"/>
      <c r="F1311" s="32"/>
      <c r="G1311" s="6"/>
      <c r="H1311" s="6"/>
      <c r="I1311" s="6"/>
      <c r="J1311" s="6"/>
      <c r="K1311" s="6"/>
      <c r="L1311" s="6"/>
      <c r="M1311" s="6"/>
      <c r="N1311" s="6"/>
      <c r="O1311" s="31"/>
      <c r="P1311" s="32"/>
      <c r="Q1311" s="6"/>
      <c r="R1311" s="59"/>
      <c r="S1311" s="1"/>
      <c r="T1311" s="1"/>
      <c r="U1311" s="1"/>
    </row>
    <row r="1312" spans="1:21" ht="9.75" customHeight="1" x14ac:dyDescent="0.4">
      <c r="A1312" s="1"/>
      <c r="B1312" s="1"/>
      <c r="C1312" s="17"/>
      <c r="D1312" s="17" t="s">
        <v>374</v>
      </c>
      <c r="E1312" s="17"/>
      <c r="F1312" s="32"/>
      <c r="G1312" s="6"/>
      <c r="H1312" s="6"/>
      <c r="I1312" s="6"/>
      <c r="J1312" s="6"/>
      <c r="K1312" s="6"/>
      <c r="L1312" s="6"/>
      <c r="M1312" s="6"/>
      <c r="N1312" s="6"/>
      <c r="O1312" s="31"/>
      <c r="P1312" s="32"/>
      <c r="Q1312" s="6"/>
      <c r="R1312" s="59"/>
      <c r="S1312" s="1"/>
      <c r="T1312" s="1"/>
      <c r="U1312" s="1"/>
    </row>
    <row r="1313" spans="1:21" ht="9.75" customHeight="1" x14ac:dyDescent="0.4">
      <c r="A1313" s="1"/>
      <c r="B1313" s="1"/>
      <c r="C1313" s="17"/>
      <c r="D1313" s="17" t="s">
        <v>374</v>
      </c>
      <c r="E1313" s="17"/>
      <c r="F1313" s="32"/>
      <c r="G1313" s="6"/>
      <c r="H1313" s="6"/>
      <c r="I1313" s="6"/>
      <c r="J1313" s="6"/>
      <c r="K1313" s="6"/>
      <c r="L1313" s="6"/>
      <c r="M1313" s="6"/>
      <c r="N1313" s="6"/>
      <c r="O1313" s="31"/>
      <c r="P1313" s="32"/>
      <c r="Q1313" s="6"/>
      <c r="R1313" s="59"/>
      <c r="S1313" s="1"/>
      <c r="T1313" s="1"/>
      <c r="U1313" s="1"/>
    </row>
    <row r="1314" spans="1:21" ht="9.75" customHeight="1" x14ac:dyDescent="0.4">
      <c r="A1314" s="1"/>
      <c r="B1314" s="1"/>
      <c r="C1314" s="17"/>
      <c r="D1314" s="17" t="s">
        <v>374</v>
      </c>
      <c r="E1314" s="17"/>
      <c r="F1314" s="32"/>
      <c r="G1314" s="6"/>
      <c r="H1314" s="6"/>
      <c r="I1314" s="6"/>
      <c r="J1314" s="6"/>
      <c r="K1314" s="6"/>
      <c r="L1314" s="6"/>
      <c r="M1314" s="6"/>
      <c r="N1314" s="6"/>
      <c r="O1314" s="31"/>
      <c r="P1314" s="32"/>
      <c r="Q1314" s="6"/>
      <c r="R1314" s="59"/>
      <c r="S1314" s="1"/>
      <c r="T1314" s="1"/>
      <c r="U1314" s="1"/>
    </row>
    <row r="1315" spans="1:21" ht="9.75" customHeight="1" x14ac:dyDescent="0.4">
      <c r="A1315" s="1"/>
      <c r="B1315" s="1"/>
      <c r="C1315" s="17"/>
      <c r="D1315" s="17" t="s">
        <v>310</v>
      </c>
      <c r="E1315" s="17">
        <v>6</v>
      </c>
      <c r="F1315" s="350">
        <v>2</v>
      </c>
      <c r="G1315" s="6">
        <v>1</v>
      </c>
      <c r="H1315" s="6">
        <v>2</v>
      </c>
      <c r="I1315" s="6">
        <v>2</v>
      </c>
      <c r="J1315" s="6">
        <v>2</v>
      </c>
      <c r="K1315" s="6">
        <v>1</v>
      </c>
      <c r="L1315" s="6">
        <v>3</v>
      </c>
      <c r="M1315" s="6">
        <v>4</v>
      </c>
      <c r="N1315" s="6">
        <v>4</v>
      </c>
      <c r="O1315" s="31">
        <v>3</v>
      </c>
      <c r="P1315" s="32">
        <f>MIN(F1315:O1315)</f>
        <v>1</v>
      </c>
      <c r="Q1315" s="6">
        <f>E1315-P1315</f>
        <v>5</v>
      </c>
      <c r="R1315" s="59">
        <f>Q1315/E1315</f>
        <v>0.83333333333333337</v>
      </c>
      <c r="S1315" s="1"/>
      <c r="T1315" s="1"/>
      <c r="U1315" s="1"/>
    </row>
    <row r="1316" spans="1:21" ht="9.75" customHeight="1" x14ac:dyDescent="0.4">
      <c r="A1316" s="1"/>
      <c r="B1316" s="1"/>
      <c r="C1316" s="17"/>
      <c r="D1316" s="17" t="s">
        <v>311</v>
      </c>
      <c r="E1316" s="17"/>
      <c r="F1316" s="350"/>
      <c r="G1316" s="6"/>
      <c r="H1316" s="6"/>
      <c r="I1316" s="6"/>
      <c r="J1316" s="6"/>
      <c r="K1316" s="6"/>
      <c r="L1316" s="6"/>
      <c r="M1316" s="6"/>
      <c r="N1316" s="6"/>
      <c r="O1316" s="31"/>
      <c r="P1316" s="32"/>
      <c r="Q1316" s="6"/>
      <c r="R1316" s="59"/>
      <c r="S1316" s="1"/>
      <c r="T1316" s="1"/>
      <c r="U1316" s="1"/>
    </row>
    <row r="1317" spans="1:21" ht="9.75" customHeight="1" x14ac:dyDescent="0.4">
      <c r="A1317" s="1"/>
      <c r="B1317" s="1"/>
      <c r="C1317" s="17"/>
      <c r="D1317" s="17" t="s">
        <v>312</v>
      </c>
      <c r="E1317" s="17">
        <v>1</v>
      </c>
      <c r="F1317" s="350">
        <v>1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</v>
      </c>
      <c r="M1317" s="6">
        <v>1</v>
      </c>
      <c r="N1317" s="6">
        <v>0</v>
      </c>
      <c r="O1317" s="31">
        <v>1</v>
      </c>
      <c r="P1317" s="32">
        <f>MIN(F1317:O1317)</f>
        <v>0</v>
      </c>
      <c r="Q1317" s="6">
        <f>E1317-P1317</f>
        <v>1</v>
      </c>
      <c r="R1317" s="59">
        <f>Q1317/E1317</f>
        <v>1</v>
      </c>
      <c r="S1317" s="1"/>
      <c r="T1317" s="1"/>
      <c r="U1317" s="1"/>
    </row>
    <row r="1318" spans="1:21" ht="9.75" customHeight="1" x14ac:dyDescent="0.4">
      <c r="A1318" s="1"/>
      <c r="B1318" s="1"/>
      <c r="C1318" s="17"/>
      <c r="D1318" s="17" t="s">
        <v>313</v>
      </c>
      <c r="E1318" s="17"/>
      <c r="F1318" s="32"/>
      <c r="G1318" s="6"/>
      <c r="H1318" s="6"/>
      <c r="I1318" s="6"/>
      <c r="J1318" s="6"/>
      <c r="K1318" s="6"/>
      <c r="L1318" s="6"/>
      <c r="M1318" s="6"/>
      <c r="N1318" s="6"/>
      <c r="O1318" s="31"/>
      <c r="P1318" s="32"/>
      <c r="Q1318" s="6"/>
      <c r="R1318" s="59"/>
      <c r="S1318" s="1"/>
      <c r="T1318" s="1"/>
      <c r="U1318" s="1"/>
    </row>
    <row r="1319" spans="1:21" ht="9.75" customHeight="1" x14ac:dyDescent="0.4">
      <c r="A1319" s="1"/>
      <c r="B1319" s="1" t="s">
        <v>395</v>
      </c>
      <c r="C1319" s="34"/>
      <c r="D1319" s="65" t="s">
        <v>314</v>
      </c>
      <c r="E1319" s="65">
        <f t="shared" ref="E1319:O1319" si="208">SUM(E1303:E1318)</f>
        <v>7</v>
      </c>
      <c r="F1319" s="104">
        <f t="shared" si="208"/>
        <v>3</v>
      </c>
      <c r="G1319" s="128">
        <f t="shared" si="208"/>
        <v>1</v>
      </c>
      <c r="H1319" s="128">
        <f t="shared" si="208"/>
        <v>2</v>
      </c>
      <c r="I1319" s="128">
        <f t="shared" si="208"/>
        <v>2</v>
      </c>
      <c r="J1319" s="128">
        <f t="shared" si="208"/>
        <v>2</v>
      </c>
      <c r="K1319" s="128">
        <f t="shared" si="208"/>
        <v>1</v>
      </c>
      <c r="L1319" s="128">
        <f t="shared" si="208"/>
        <v>4</v>
      </c>
      <c r="M1319" s="128">
        <f t="shared" si="208"/>
        <v>5</v>
      </c>
      <c r="N1319" s="128">
        <f t="shared" si="208"/>
        <v>4</v>
      </c>
      <c r="O1319" s="129">
        <f t="shared" si="208"/>
        <v>4</v>
      </c>
      <c r="P1319" s="104">
        <f>MIN(F1319:O1319)</f>
        <v>1</v>
      </c>
      <c r="Q1319" s="128">
        <f>E1319-P1319</f>
        <v>6</v>
      </c>
      <c r="R1319" s="72">
        <f>Q1319/E1319</f>
        <v>0.8571428571428571</v>
      </c>
      <c r="S1319" s="1"/>
      <c r="T1319" s="1"/>
      <c r="U1319" s="1"/>
    </row>
    <row r="1320" spans="1:21" ht="9.75" customHeight="1" x14ac:dyDescent="0.4">
      <c r="A1320" s="1"/>
      <c r="B1320" s="1"/>
      <c r="C1320" s="15" t="s">
        <v>117</v>
      </c>
      <c r="D1320" s="15" t="s">
        <v>300</v>
      </c>
      <c r="E1320" s="15"/>
      <c r="F1320" s="73"/>
      <c r="G1320" s="108"/>
      <c r="H1320" s="108"/>
      <c r="I1320" s="108"/>
      <c r="J1320" s="108"/>
      <c r="K1320" s="108"/>
      <c r="L1320" s="108"/>
      <c r="M1320" s="108"/>
      <c r="N1320" s="108"/>
      <c r="O1320" s="109"/>
      <c r="P1320" s="73"/>
      <c r="Q1320" s="108"/>
      <c r="R1320" s="188"/>
      <c r="S1320" s="1"/>
      <c r="T1320" s="1"/>
      <c r="U1320" s="1"/>
    </row>
    <row r="1321" spans="1:21" ht="9.75" customHeight="1" x14ac:dyDescent="0.4">
      <c r="A1321" s="1"/>
      <c r="B1321" s="1"/>
      <c r="C1321" s="17"/>
      <c r="D1321" s="17" t="s">
        <v>301</v>
      </c>
      <c r="E1321" s="17"/>
      <c r="F1321" s="32"/>
      <c r="G1321" s="6"/>
      <c r="H1321" s="6"/>
      <c r="I1321" s="6"/>
      <c r="J1321" s="6"/>
      <c r="K1321" s="6"/>
      <c r="L1321" s="6"/>
      <c r="M1321" s="6"/>
      <c r="N1321" s="6"/>
      <c r="O1321" s="31"/>
      <c r="P1321" s="32"/>
      <c r="Q1321" s="6"/>
      <c r="R1321" s="59"/>
      <c r="S1321" s="1"/>
      <c r="T1321" s="1"/>
      <c r="U1321" s="1"/>
    </row>
    <row r="1322" spans="1:21" ht="9.75" customHeight="1" x14ac:dyDescent="0.4">
      <c r="A1322" s="1"/>
      <c r="B1322" s="1"/>
      <c r="C1322" s="17"/>
      <c r="D1322" s="17" t="s">
        <v>303</v>
      </c>
      <c r="E1322" s="17"/>
      <c r="F1322" s="32"/>
      <c r="G1322" s="6"/>
      <c r="H1322" s="6"/>
      <c r="I1322" s="6"/>
      <c r="J1322" s="6"/>
      <c r="K1322" s="6"/>
      <c r="L1322" s="6"/>
      <c r="M1322" s="6"/>
      <c r="N1322" s="6"/>
      <c r="O1322" s="31"/>
      <c r="P1322" s="32"/>
      <c r="Q1322" s="6"/>
      <c r="R1322" s="59"/>
      <c r="S1322" s="1"/>
      <c r="T1322" s="1"/>
      <c r="U1322" s="1"/>
    </row>
    <row r="1323" spans="1:21" ht="9.75" customHeight="1" x14ac:dyDescent="0.4">
      <c r="A1323" s="1"/>
      <c r="B1323" s="1"/>
      <c r="C1323" s="17"/>
      <c r="D1323" s="17" t="s">
        <v>421</v>
      </c>
      <c r="E1323" s="17">
        <f>34+48</f>
        <v>82</v>
      </c>
      <c r="F1323" s="32">
        <v>33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2</v>
      </c>
      <c r="M1323" s="6">
        <v>4</v>
      </c>
      <c r="N1323" s="6">
        <v>10</v>
      </c>
      <c r="O1323" s="31">
        <v>8</v>
      </c>
      <c r="P1323" s="32">
        <f>MIN(F1323:O1323)</f>
        <v>0</v>
      </c>
      <c r="Q1323" s="6">
        <f>E1323-P1323</f>
        <v>82</v>
      </c>
      <c r="R1323" s="59">
        <f>Q1323/E1323</f>
        <v>1</v>
      </c>
      <c r="S1323" s="1"/>
      <c r="T1323" s="1"/>
      <c r="U1323" s="1"/>
    </row>
    <row r="1324" spans="1:21" ht="9.75" customHeight="1" x14ac:dyDescent="0.4">
      <c r="A1324" s="1"/>
      <c r="B1324" s="1"/>
      <c r="C1324" s="17"/>
      <c r="D1324" s="17" t="s">
        <v>369</v>
      </c>
      <c r="E1324" s="17"/>
      <c r="F1324" s="32"/>
      <c r="G1324" s="6"/>
      <c r="H1324" s="6"/>
      <c r="I1324" s="6"/>
      <c r="J1324" s="6"/>
      <c r="K1324" s="6"/>
      <c r="L1324" s="6"/>
      <c r="M1324" s="6"/>
      <c r="N1324" s="6"/>
      <c r="O1324" s="31"/>
      <c r="P1324" s="32"/>
      <c r="Q1324" s="6"/>
      <c r="R1324" s="59"/>
      <c r="S1324" s="1"/>
      <c r="T1324" s="1"/>
      <c r="U1324" s="1"/>
    </row>
    <row r="1325" spans="1:21" ht="9.75" customHeight="1" x14ac:dyDescent="0.4">
      <c r="A1325" s="1"/>
      <c r="B1325" s="1"/>
      <c r="C1325" s="17"/>
      <c r="D1325" s="17" t="s">
        <v>308</v>
      </c>
      <c r="E1325" s="17">
        <v>7</v>
      </c>
      <c r="F1325" s="32">
        <v>7</v>
      </c>
      <c r="G1325" s="6">
        <v>7</v>
      </c>
      <c r="H1325" s="6">
        <v>4</v>
      </c>
      <c r="I1325" s="6">
        <v>5</v>
      </c>
      <c r="J1325" s="6">
        <v>4</v>
      </c>
      <c r="K1325" s="6">
        <v>5</v>
      </c>
      <c r="L1325" s="6">
        <v>5</v>
      </c>
      <c r="M1325" s="6">
        <v>6</v>
      </c>
      <c r="N1325" s="6">
        <v>5</v>
      </c>
      <c r="O1325" s="6">
        <v>5</v>
      </c>
      <c r="P1325" s="32">
        <f t="shared" ref="P1325:P1328" si="209">MIN(F1325:O1325)</f>
        <v>4</v>
      </c>
      <c r="Q1325" s="6">
        <f t="shared" ref="Q1325:Q1328" si="210">E1325-P1325</f>
        <v>3</v>
      </c>
      <c r="R1325" s="59">
        <f t="shared" ref="R1325:R1328" si="211">Q1325/E1325</f>
        <v>0.42857142857142855</v>
      </c>
      <c r="S1325" s="1"/>
      <c r="T1325" s="1"/>
      <c r="U1325" s="1"/>
    </row>
    <row r="1326" spans="1:21" ht="9.75" customHeight="1" x14ac:dyDescent="0.4">
      <c r="A1326" s="1"/>
      <c r="B1326" s="1"/>
      <c r="C1326" s="17"/>
      <c r="D1326" s="17" t="s">
        <v>451</v>
      </c>
      <c r="E1326" s="17">
        <v>10</v>
      </c>
      <c r="F1326" s="32">
        <v>8</v>
      </c>
      <c r="G1326" s="6">
        <v>6</v>
      </c>
      <c r="H1326" s="6">
        <v>7</v>
      </c>
      <c r="I1326" s="6">
        <v>2</v>
      </c>
      <c r="J1326" s="6">
        <v>6</v>
      </c>
      <c r="K1326" s="6">
        <v>4</v>
      </c>
      <c r="L1326" s="6">
        <v>5</v>
      </c>
      <c r="M1326" s="6">
        <v>3</v>
      </c>
      <c r="N1326" s="6">
        <v>6</v>
      </c>
      <c r="O1326" s="31">
        <v>8</v>
      </c>
      <c r="P1326" s="32">
        <f t="shared" si="209"/>
        <v>2</v>
      </c>
      <c r="Q1326" s="6">
        <f t="shared" si="210"/>
        <v>8</v>
      </c>
      <c r="R1326" s="59">
        <f t="shared" si="211"/>
        <v>0.8</v>
      </c>
      <c r="S1326" s="1"/>
      <c r="T1326" s="1"/>
      <c r="U1326" s="1"/>
    </row>
    <row r="1327" spans="1:21" ht="9.75" customHeight="1" x14ac:dyDescent="0.4">
      <c r="A1327" s="1"/>
      <c r="B1327" s="1"/>
      <c r="C1327" s="17"/>
      <c r="D1327" s="17" t="s">
        <v>452</v>
      </c>
      <c r="E1327" s="17">
        <v>10</v>
      </c>
      <c r="F1327" s="32">
        <v>10</v>
      </c>
      <c r="G1327" s="6">
        <v>10</v>
      </c>
      <c r="H1327" s="6">
        <v>3</v>
      </c>
      <c r="I1327" s="6">
        <v>3</v>
      </c>
      <c r="J1327" s="6">
        <v>3</v>
      </c>
      <c r="K1327" s="6">
        <v>3</v>
      </c>
      <c r="L1327" s="6">
        <v>1</v>
      </c>
      <c r="M1327" s="6">
        <v>3</v>
      </c>
      <c r="N1327" s="6">
        <v>3</v>
      </c>
      <c r="O1327" s="31">
        <v>3</v>
      </c>
      <c r="P1327" s="32">
        <f t="shared" si="209"/>
        <v>1</v>
      </c>
      <c r="Q1327" s="6">
        <f t="shared" si="210"/>
        <v>9</v>
      </c>
      <c r="R1327" s="59">
        <f t="shared" si="211"/>
        <v>0.9</v>
      </c>
      <c r="S1327" s="1"/>
      <c r="T1327" s="1"/>
      <c r="U1327" s="1"/>
    </row>
    <row r="1328" spans="1:21" ht="9.75" customHeight="1" x14ac:dyDescent="0.4">
      <c r="A1328" s="1"/>
      <c r="B1328" s="1"/>
      <c r="C1328" s="17"/>
      <c r="D1328" s="17" t="s">
        <v>453</v>
      </c>
      <c r="E1328" s="17">
        <v>7</v>
      </c>
      <c r="F1328" s="32">
        <v>7</v>
      </c>
      <c r="G1328" s="6">
        <v>7</v>
      </c>
      <c r="H1328" s="6">
        <v>3</v>
      </c>
      <c r="I1328" s="6">
        <v>2</v>
      </c>
      <c r="J1328" s="6">
        <v>3</v>
      </c>
      <c r="K1328" s="6">
        <v>2</v>
      </c>
      <c r="L1328" s="6">
        <v>4</v>
      </c>
      <c r="M1328" s="6">
        <v>4</v>
      </c>
      <c r="N1328" s="6">
        <v>4</v>
      </c>
      <c r="O1328" s="31">
        <v>4</v>
      </c>
      <c r="P1328" s="32">
        <f t="shared" si="209"/>
        <v>2</v>
      </c>
      <c r="Q1328" s="6">
        <f t="shared" si="210"/>
        <v>5</v>
      </c>
      <c r="R1328" s="59">
        <f t="shared" si="211"/>
        <v>0.7142857142857143</v>
      </c>
      <c r="S1328" s="1"/>
      <c r="T1328" s="1"/>
      <c r="U1328" s="1"/>
    </row>
    <row r="1329" spans="1:21" ht="9.75" customHeight="1" x14ac:dyDescent="0.4">
      <c r="A1329" s="1"/>
      <c r="B1329" s="1"/>
      <c r="C1329" s="17"/>
      <c r="D1329" s="17" t="s">
        <v>374</v>
      </c>
      <c r="E1329" s="17"/>
      <c r="F1329" s="32"/>
      <c r="G1329" s="6"/>
      <c r="H1329" s="6"/>
      <c r="I1329" s="6"/>
      <c r="J1329" s="6"/>
      <c r="K1329" s="6"/>
      <c r="L1329" s="6"/>
      <c r="M1329" s="6"/>
      <c r="N1329" s="6"/>
      <c r="O1329" s="31"/>
      <c r="P1329" s="32"/>
      <c r="Q1329" s="6"/>
      <c r="R1329" s="59"/>
      <c r="S1329" s="1"/>
      <c r="T1329" s="1"/>
      <c r="U1329" s="1"/>
    </row>
    <row r="1330" spans="1:21" ht="9.75" customHeight="1" x14ac:dyDescent="0.4">
      <c r="A1330" s="1"/>
      <c r="B1330" s="1"/>
      <c r="C1330" s="17"/>
      <c r="D1330" s="17" t="s">
        <v>374</v>
      </c>
      <c r="E1330" s="17"/>
      <c r="F1330" s="32"/>
      <c r="G1330" s="6"/>
      <c r="H1330" s="6"/>
      <c r="I1330" s="6"/>
      <c r="J1330" s="6"/>
      <c r="K1330" s="6"/>
      <c r="L1330" s="6"/>
      <c r="M1330" s="6"/>
      <c r="N1330" s="6"/>
      <c r="O1330" s="31"/>
      <c r="P1330" s="32"/>
      <c r="Q1330" s="6"/>
      <c r="R1330" s="59"/>
      <c r="S1330" s="1"/>
      <c r="T1330" s="1"/>
      <c r="U1330" s="1"/>
    </row>
    <row r="1331" spans="1:21" ht="9.75" customHeight="1" x14ac:dyDescent="0.4">
      <c r="A1331" s="1"/>
      <c r="B1331" s="1"/>
      <c r="C1331" s="17"/>
      <c r="D1331" s="17" t="s">
        <v>374</v>
      </c>
      <c r="E1331" s="17"/>
      <c r="F1331" s="32"/>
      <c r="G1331" s="6"/>
      <c r="H1331" s="6"/>
      <c r="I1331" s="6"/>
      <c r="J1331" s="6"/>
      <c r="K1331" s="6"/>
      <c r="L1331" s="6"/>
      <c r="M1331" s="6"/>
      <c r="N1331" s="6"/>
      <c r="O1331" s="31"/>
      <c r="P1331" s="32"/>
      <c r="Q1331" s="6"/>
      <c r="R1331" s="59"/>
      <c r="S1331" s="1"/>
      <c r="T1331" s="1"/>
      <c r="U1331" s="1"/>
    </row>
    <row r="1332" spans="1:21" ht="9.75" customHeight="1" x14ac:dyDescent="0.4">
      <c r="A1332" s="1"/>
      <c r="B1332" s="1"/>
      <c r="C1332" s="17"/>
      <c r="D1332" s="17" t="s">
        <v>310</v>
      </c>
      <c r="E1332" s="17">
        <v>15</v>
      </c>
      <c r="F1332" s="32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2</v>
      </c>
      <c r="M1332" s="6">
        <v>4</v>
      </c>
      <c r="N1332" s="6">
        <v>6</v>
      </c>
      <c r="O1332" s="31">
        <v>8</v>
      </c>
      <c r="P1332" s="32">
        <f>MIN(F1332:O1332)</f>
        <v>0</v>
      </c>
      <c r="Q1332" s="6">
        <f>E1332-P1332</f>
        <v>15</v>
      </c>
      <c r="R1332" s="59">
        <f>Q1332/E1332</f>
        <v>1</v>
      </c>
      <c r="S1332" s="1"/>
      <c r="T1332" s="1"/>
      <c r="U1332" s="1"/>
    </row>
    <row r="1333" spans="1:21" ht="9.75" customHeight="1" x14ac:dyDescent="0.4">
      <c r="A1333" s="1"/>
      <c r="B1333" s="1"/>
      <c r="C1333" s="17"/>
      <c r="D1333" s="17" t="s">
        <v>311</v>
      </c>
      <c r="E1333" s="17"/>
      <c r="F1333" s="32"/>
      <c r="G1333" s="6"/>
      <c r="H1333" s="6"/>
      <c r="I1333" s="6"/>
      <c r="J1333" s="6"/>
      <c r="K1333" s="6"/>
      <c r="L1333" s="6"/>
      <c r="M1333" s="6"/>
      <c r="N1333" s="6"/>
      <c r="O1333" s="31"/>
      <c r="P1333" s="32"/>
      <c r="Q1333" s="6"/>
      <c r="R1333" s="59"/>
      <c r="S1333" s="1"/>
      <c r="T1333" s="1"/>
      <c r="U1333" s="1"/>
    </row>
    <row r="1334" spans="1:21" ht="9.75" customHeight="1" x14ac:dyDescent="0.4">
      <c r="A1334" s="1"/>
      <c r="B1334" s="1"/>
      <c r="C1334" s="17"/>
      <c r="D1334" s="17" t="s">
        <v>312</v>
      </c>
      <c r="E1334" s="17"/>
      <c r="F1334" s="32"/>
      <c r="G1334" s="6"/>
      <c r="H1334" s="6"/>
      <c r="I1334" s="6"/>
      <c r="J1334" s="6"/>
      <c r="K1334" s="6"/>
      <c r="L1334" s="6"/>
      <c r="M1334" s="6"/>
      <c r="N1334" s="6"/>
      <c r="O1334" s="31"/>
      <c r="P1334" s="32"/>
      <c r="Q1334" s="6"/>
      <c r="R1334" s="59"/>
      <c r="S1334" s="1"/>
      <c r="T1334" s="1"/>
      <c r="U1334" s="1"/>
    </row>
    <row r="1335" spans="1:21" ht="9.75" customHeight="1" x14ac:dyDescent="0.4">
      <c r="A1335" s="1"/>
      <c r="B1335" s="1"/>
      <c r="C1335" s="17"/>
      <c r="D1335" s="17" t="s">
        <v>313</v>
      </c>
      <c r="E1335" s="17"/>
      <c r="F1335" s="32"/>
      <c r="G1335" s="6"/>
      <c r="H1335" s="6"/>
      <c r="I1335" s="6"/>
      <c r="J1335" s="6"/>
      <c r="K1335" s="6"/>
      <c r="L1335" s="6"/>
      <c r="M1335" s="6"/>
      <c r="N1335" s="6"/>
      <c r="O1335" s="31"/>
      <c r="P1335" s="32"/>
      <c r="Q1335" s="6"/>
      <c r="R1335" s="59"/>
      <c r="S1335" s="1"/>
      <c r="T1335" s="1"/>
      <c r="U1335" s="1"/>
    </row>
    <row r="1336" spans="1:21" ht="9.75" customHeight="1" x14ac:dyDescent="0.4">
      <c r="A1336" s="1"/>
      <c r="B1336" s="1" t="s">
        <v>395</v>
      </c>
      <c r="C1336" s="34"/>
      <c r="D1336" s="65" t="s">
        <v>314</v>
      </c>
      <c r="E1336" s="65">
        <f t="shared" ref="E1336:O1336" si="212">SUM(E1320:E1335)</f>
        <v>131</v>
      </c>
      <c r="F1336" s="104">
        <f t="shared" si="212"/>
        <v>65</v>
      </c>
      <c r="G1336" s="128">
        <f t="shared" si="212"/>
        <v>30</v>
      </c>
      <c r="H1336" s="128">
        <f t="shared" si="212"/>
        <v>17</v>
      </c>
      <c r="I1336" s="128">
        <f t="shared" si="212"/>
        <v>12</v>
      </c>
      <c r="J1336" s="128">
        <f t="shared" si="212"/>
        <v>16</v>
      </c>
      <c r="K1336" s="128">
        <f t="shared" si="212"/>
        <v>14</v>
      </c>
      <c r="L1336" s="128">
        <f t="shared" si="212"/>
        <v>19</v>
      </c>
      <c r="M1336" s="128">
        <f t="shared" si="212"/>
        <v>24</v>
      </c>
      <c r="N1336" s="128">
        <f t="shared" si="212"/>
        <v>34</v>
      </c>
      <c r="O1336" s="129">
        <f t="shared" si="212"/>
        <v>36</v>
      </c>
      <c r="P1336" s="104">
        <f>MIN(F1336:O1336)</f>
        <v>12</v>
      </c>
      <c r="Q1336" s="128">
        <f>E1336-P1336</f>
        <v>119</v>
      </c>
      <c r="R1336" s="72">
        <f>Q1336/E1336</f>
        <v>0.90839694656488545</v>
      </c>
      <c r="S1336" s="1"/>
      <c r="T1336" s="1"/>
      <c r="U1336" s="1"/>
    </row>
    <row r="1337" spans="1:21" ht="9.75" customHeight="1" x14ac:dyDescent="0.4">
      <c r="A1337" s="1"/>
      <c r="B1337" s="1"/>
      <c r="C1337" s="15" t="s">
        <v>134</v>
      </c>
      <c r="D1337" s="15" t="s">
        <v>300</v>
      </c>
      <c r="E1337" s="17"/>
      <c r="F1337" s="32"/>
      <c r="G1337" s="6"/>
      <c r="H1337" s="6"/>
      <c r="I1337" s="6"/>
      <c r="J1337" s="6"/>
      <c r="K1337" s="6"/>
      <c r="L1337" s="6"/>
      <c r="M1337" s="6"/>
      <c r="N1337" s="6"/>
      <c r="O1337" s="31"/>
      <c r="P1337" s="32"/>
      <c r="Q1337" s="6"/>
      <c r="R1337" s="59"/>
      <c r="S1337" s="1"/>
      <c r="T1337" s="1"/>
      <c r="U1337" s="1"/>
    </row>
    <row r="1338" spans="1:21" ht="9.75" customHeight="1" x14ac:dyDescent="0.4">
      <c r="A1338" s="1"/>
      <c r="B1338" s="1"/>
      <c r="C1338" s="17"/>
      <c r="D1338" s="17" t="s">
        <v>301</v>
      </c>
      <c r="E1338" s="17"/>
      <c r="F1338" s="32"/>
      <c r="G1338" s="6"/>
      <c r="H1338" s="6"/>
      <c r="I1338" s="6"/>
      <c r="J1338" s="6"/>
      <c r="K1338" s="6"/>
      <c r="L1338" s="6"/>
      <c r="M1338" s="6"/>
      <c r="N1338" s="6"/>
      <c r="O1338" s="31"/>
      <c r="P1338" s="32"/>
      <c r="Q1338" s="6"/>
      <c r="R1338" s="59"/>
      <c r="S1338" s="1"/>
      <c r="T1338" s="1"/>
      <c r="U1338" s="1"/>
    </row>
    <row r="1339" spans="1:21" ht="9.75" customHeight="1" x14ac:dyDescent="0.4">
      <c r="A1339" s="1"/>
      <c r="B1339" s="1"/>
      <c r="C1339" s="17"/>
      <c r="D1339" s="17" t="s">
        <v>303</v>
      </c>
      <c r="E1339" s="17"/>
      <c r="F1339" s="32"/>
      <c r="G1339" s="6"/>
      <c r="H1339" s="6"/>
      <c r="I1339" s="6"/>
      <c r="J1339" s="6"/>
      <c r="K1339" s="6"/>
      <c r="L1339" s="6"/>
      <c r="M1339" s="6"/>
      <c r="N1339" s="6"/>
      <c r="O1339" s="31"/>
      <c r="P1339" s="32"/>
      <c r="Q1339" s="6"/>
      <c r="R1339" s="59"/>
      <c r="S1339" s="1"/>
      <c r="T1339" s="1"/>
      <c r="U1339" s="1"/>
    </row>
    <row r="1340" spans="1:21" ht="9.75" customHeight="1" x14ac:dyDescent="0.4">
      <c r="A1340" s="1"/>
      <c r="B1340" s="1"/>
      <c r="C1340" s="17"/>
      <c r="D1340" s="17" t="s">
        <v>421</v>
      </c>
      <c r="E1340" s="17">
        <v>60</v>
      </c>
      <c r="F1340" s="32">
        <v>3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31">
        <v>0</v>
      </c>
      <c r="P1340" s="32">
        <f>MIN(F1340:O1340)</f>
        <v>0</v>
      </c>
      <c r="Q1340" s="6">
        <f>E1340-P1340</f>
        <v>60</v>
      </c>
      <c r="R1340" s="59">
        <f>Q1340/E1340</f>
        <v>1</v>
      </c>
      <c r="S1340" s="1"/>
      <c r="T1340" s="1"/>
      <c r="U1340" s="1"/>
    </row>
    <row r="1341" spans="1:21" ht="9.75" customHeight="1" x14ac:dyDescent="0.4">
      <c r="A1341" s="1"/>
      <c r="B1341" s="1"/>
      <c r="C1341" s="17"/>
      <c r="D1341" s="17" t="s">
        <v>369</v>
      </c>
      <c r="E1341" s="17"/>
      <c r="F1341" s="32"/>
      <c r="G1341" s="6"/>
      <c r="H1341" s="6"/>
      <c r="I1341" s="6"/>
      <c r="J1341" s="6"/>
      <c r="K1341" s="6"/>
      <c r="L1341" s="6"/>
      <c r="M1341" s="6"/>
      <c r="N1341" s="6"/>
      <c r="O1341" s="31"/>
      <c r="P1341" s="32"/>
      <c r="Q1341" s="6"/>
      <c r="R1341" s="59"/>
      <c r="S1341" s="1"/>
      <c r="T1341" s="1"/>
      <c r="U1341" s="1"/>
    </row>
    <row r="1342" spans="1:21" ht="9.75" customHeight="1" x14ac:dyDescent="0.4">
      <c r="A1342" s="1"/>
      <c r="B1342" s="1"/>
      <c r="C1342" s="17"/>
      <c r="D1342" s="17" t="s">
        <v>454</v>
      </c>
      <c r="E1342" s="17">
        <v>5</v>
      </c>
      <c r="F1342" s="32">
        <v>4</v>
      </c>
      <c r="G1342" s="6">
        <v>4</v>
      </c>
      <c r="H1342" s="6">
        <v>4</v>
      </c>
      <c r="I1342" s="6">
        <v>4</v>
      </c>
      <c r="J1342" s="6">
        <v>5</v>
      </c>
      <c r="K1342" s="6">
        <v>4</v>
      </c>
      <c r="L1342" s="6">
        <v>4</v>
      </c>
      <c r="M1342" s="6">
        <v>4</v>
      </c>
      <c r="N1342" s="6">
        <v>3</v>
      </c>
      <c r="O1342" s="31">
        <v>4</v>
      </c>
      <c r="P1342" s="32">
        <f t="shared" ref="P1342:P1345" si="213">MIN(F1342:O1342)</f>
        <v>3</v>
      </c>
      <c r="Q1342" s="6">
        <f t="shared" ref="Q1342:Q1345" si="214">E1342-P1342</f>
        <v>2</v>
      </c>
      <c r="R1342" s="59">
        <f t="shared" ref="R1342:R1345" si="215">Q1342/E1342</f>
        <v>0.4</v>
      </c>
      <c r="S1342" s="1"/>
      <c r="T1342" s="1"/>
      <c r="U1342" s="1"/>
    </row>
    <row r="1343" spans="1:21" ht="9.75" customHeight="1" x14ac:dyDescent="0.4">
      <c r="A1343" s="1"/>
      <c r="B1343" s="1"/>
      <c r="C1343" s="17"/>
      <c r="D1343" s="17" t="s">
        <v>404</v>
      </c>
      <c r="E1343" s="17">
        <v>3</v>
      </c>
      <c r="F1343" s="32">
        <v>3</v>
      </c>
      <c r="G1343" s="6">
        <v>2</v>
      </c>
      <c r="H1343" s="6">
        <v>2</v>
      </c>
      <c r="I1343" s="6">
        <v>0</v>
      </c>
      <c r="J1343" s="6">
        <v>4</v>
      </c>
      <c r="K1343" s="6">
        <v>1</v>
      </c>
      <c r="L1343" s="6">
        <v>1</v>
      </c>
      <c r="M1343" s="6">
        <v>1</v>
      </c>
      <c r="N1343" s="6">
        <v>1</v>
      </c>
      <c r="O1343" s="31">
        <v>2</v>
      </c>
      <c r="P1343" s="32">
        <f t="shared" si="213"/>
        <v>0</v>
      </c>
      <c r="Q1343" s="6">
        <f t="shared" si="214"/>
        <v>3</v>
      </c>
      <c r="R1343" s="59">
        <f t="shared" si="215"/>
        <v>1</v>
      </c>
      <c r="S1343" s="1"/>
      <c r="T1343" s="1"/>
      <c r="U1343" s="1"/>
    </row>
    <row r="1344" spans="1:21" ht="9.75" customHeight="1" x14ac:dyDescent="0.4">
      <c r="A1344" s="1"/>
      <c r="B1344" s="1"/>
      <c r="C1344" s="17"/>
      <c r="D1344" s="17" t="s">
        <v>372</v>
      </c>
      <c r="E1344" s="17">
        <v>7</v>
      </c>
      <c r="F1344" s="32">
        <v>4</v>
      </c>
      <c r="G1344" s="6">
        <v>0</v>
      </c>
      <c r="H1344" s="6">
        <v>0</v>
      </c>
      <c r="I1344" s="6">
        <v>0</v>
      </c>
      <c r="J1344" s="6">
        <v>0</v>
      </c>
      <c r="K1344" s="6">
        <v>1</v>
      </c>
      <c r="L1344" s="6">
        <v>2</v>
      </c>
      <c r="M1344" s="6">
        <v>0</v>
      </c>
      <c r="N1344" s="6">
        <v>0</v>
      </c>
      <c r="O1344" s="31">
        <v>0</v>
      </c>
      <c r="P1344" s="32">
        <f t="shared" si="213"/>
        <v>0</v>
      </c>
      <c r="Q1344" s="6">
        <f t="shared" si="214"/>
        <v>7</v>
      </c>
      <c r="R1344" s="59">
        <f t="shared" si="215"/>
        <v>1</v>
      </c>
      <c r="S1344" s="1"/>
      <c r="T1344" s="1"/>
      <c r="U1344" s="1"/>
    </row>
    <row r="1345" spans="1:21" ht="9.75" customHeight="1" x14ac:dyDescent="0.4">
      <c r="A1345" s="1"/>
      <c r="B1345" s="1"/>
      <c r="C1345" s="17"/>
      <c r="D1345" s="220" t="s">
        <v>455</v>
      </c>
      <c r="E1345" s="220">
        <v>5</v>
      </c>
      <c r="F1345" s="32">
        <v>4</v>
      </c>
      <c r="G1345" s="6">
        <v>4</v>
      </c>
      <c r="H1345" s="6">
        <v>4</v>
      </c>
      <c r="I1345" s="6">
        <v>4</v>
      </c>
      <c r="J1345" s="6">
        <v>5</v>
      </c>
      <c r="K1345" s="6">
        <v>4</v>
      </c>
      <c r="L1345" s="6">
        <v>4</v>
      </c>
      <c r="M1345" s="6">
        <v>4</v>
      </c>
      <c r="N1345" s="6">
        <v>3</v>
      </c>
      <c r="O1345" s="31">
        <v>4</v>
      </c>
      <c r="P1345" s="32">
        <f t="shared" si="213"/>
        <v>3</v>
      </c>
      <c r="Q1345" s="6">
        <f t="shared" si="214"/>
        <v>2</v>
      </c>
      <c r="R1345" s="59">
        <f t="shared" si="215"/>
        <v>0.4</v>
      </c>
      <c r="S1345" s="1"/>
      <c r="T1345" s="1"/>
      <c r="U1345" s="1"/>
    </row>
    <row r="1346" spans="1:21" ht="9.75" customHeight="1" x14ac:dyDescent="0.4">
      <c r="A1346" s="1"/>
      <c r="B1346" s="1"/>
      <c r="C1346" s="17"/>
      <c r="D1346" s="17" t="s">
        <v>374</v>
      </c>
      <c r="E1346" s="17"/>
      <c r="F1346" s="32"/>
      <c r="G1346" s="6"/>
      <c r="H1346" s="6"/>
      <c r="I1346" s="6"/>
      <c r="J1346" s="6"/>
      <c r="K1346" s="6"/>
      <c r="L1346" s="6"/>
      <c r="M1346" s="6"/>
      <c r="N1346" s="6"/>
      <c r="O1346" s="6"/>
      <c r="P1346" s="32"/>
      <c r="Q1346" s="6"/>
      <c r="R1346" s="59"/>
      <c r="S1346" s="1"/>
      <c r="T1346" s="1"/>
      <c r="U1346" s="1"/>
    </row>
    <row r="1347" spans="1:21" ht="9.75" customHeight="1" x14ac:dyDescent="0.4">
      <c r="A1347" s="1"/>
      <c r="B1347" s="1"/>
      <c r="C1347" s="17"/>
      <c r="D1347" s="17" t="s">
        <v>377</v>
      </c>
      <c r="E1347" s="17"/>
      <c r="F1347" s="32"/>
      <c r="G1347" s="6"/>
      <c r="H1347" s="6"/>
      <c r="I1347" s="6"/>
      <c r="J1347" s="6"/>
      <c r="K1347" s="6"/>
      <c r="L1347" s="6"/>
      <c r="M1347" s="6"/>
      <c r="N1347" s="6"/>
      <c r="O1347" s="6"/>
      <c r="P1347" s="32"/>
      <c r="Q1347" s="6"/>
      <c r="R1347" s="59"/>
      <c r="S1347" s="1"/>
      <c r="T1347" s="1"/>
      <c r="U1347" s="1"/>
    </row>
    <row r="1348" spans="1:21" ht="9.75" customHeight="1" x14ac:dyDescent="0.4">
      <c r="A1348" s="1"/>
      <c r="B1348" s="1"/>
      <c r="C1348" s="17"/>
      <c r="D1348" s="17" t="s">
        <v>377</v>
      </c>
      <c r="E1348" s="17"/>
      <c r="F1348" s="32"/>
      <c r="G1348" s="6"/>
      <c r="H1348" s="6"/>
      <c r="I1348" s="6"/>
      <c r="J1348" s="6"/>
      <c r="K1348" s="6"/>
      <c r="L1348" s="6"/>
      <c r="M1348" s="6"/>
      <c r="N1348" s="6"/>
      <c r="O1348" s="31"/>
      <c r="P1348" s="32"/>
      <c r="Q1348" s="6"/>
      <c r="R1348" s="59"/>
      <c r="S1348" s="1"/>
      <c r="T1348" s="1"/>
      <c r="U1348" s="1"/>
    </row>
    <row r="1349" spans="1:21" ht="9.75" customHeight="1" x14ac:dyDescent="0.4">
      <c r="A1349" s="1"/>
      <c r="B1349" s="1"/>
      <c r="C1349" s="17"/>
      <c r="D1349" s="17" t="s">
        <v>377</v>
      </c>
      <c r="E1349" s="17"/>
      <c r="F1349" s="32"/>
      <c r="G1349" s="6"/>
      <c r="H1349" s="6"/>
      <c r="I1349" s="6"/>
      <c r="J1349" s="6"/>
      <c r="K1349" s="6"/>
      <c r="L1349" s="6"/>
      <c r="M1349" s="6"/>
      <c r="N1349" s="6"/>
      <c r="O1349" s="31"/>
      <c r="P1349" s="32"/>
      <c r="Q1349" s="6"/>
      <c r="R1349" s="59"/>
      <c r="S1349" s="1"/>
      <c r="T1349" s="1"/>
      <c r="U1349" s="1"/>
    </row>
    <row r="1350" spans="1:21" ht="9.75" customHeight="1" x14ac:dyDescent="0.4">
      <c r="A1350" s="1"/>
      <c r="B1350" s="1"/>
      <c r="C1350" s="17"/>
      <c r="D1350" s="17" t="s">
        <v>377</v>
      </c>
      <c r="E1350" s="17"/>
      <c r="F1350" s="32"/>
      <c r="G1350" s="6"/>
      <c r="H1350" s="6"/>
      <c r="I1350" s="6"/>
      <c r="J1350" s="6"/>
      <c r="K1350" s="6"/>
      <c r="L1350" s="6"/>
      <c r="M1350" s="6"/>
      <c r="N1350" s="6"/>
      <c r="O1350" s="31"/>
      <c r="P1350" s="32"/>
      <c r="Q1350" s="6"/>
      <c r="R1350" s="59"/>
      <c r="S1350" s="1"/>
      <c r="T1350" s="1"/>
      <c r="U1350" s="1"/>
    </row>
    <row r="1351" spans="1:21" ht="9.75" customHeight="1" x14ac:dyDescent="0.4">
      <c r="A1351" s="1"/>
      <c r="B1351" s="1"/>
      <c r="C1351" s="17"/>
      <c r="D1351" s="17" t="s">
        <v>310</v>
      </c>
      <c r="E1351" s="17">
        <v>28</v>
      </c>
      <c r="F1351" s="32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2</v>
      </c>
      <c r="L1351" s="6">
        <v>4</v>
      </c>
      <c r="M1351" s="6">
        <v>6</v>
      </c>
      <c r="N1351" s="6">
        <v>20</v>
      </c>
      <c r="O1351" s="31">
        <v>23</v>
      </c>
      <c r="P1351" s="32">
        <f t="shared" ref="P1351:P1352" si="216">MIN(F1351:O1351)</f>
        <v>0</v>
      </c>
      <c r="Q1351" s="6">
        <f t="shared" ref="Q1351:Q1352" si="217">E1351-P1351</f>
        <v>28</v>
      </c>
      <c r="R1351" s="59">
        <f t="shared" ref="R1351:R1352" si="218">Q1351/E1351</f>
        <v>1</v>
      </c>
      <c r="S1351" s="1"/>
      <c r="T1351" s="1"/>
      <c r="U1351" s="1"/>
    </row>
    <row r="1352" spans="1:21" ht="9.75" customHeight="1" x14ac:dyDescent="0.4">
      <c r="A1352" s="1"/>
      <c r="B1352" s="1"/>
      <c r="C1352" s="17"/>
      <c r="D1352" s="17" t="s">
        <v>456</v>
      </c>
      <c r="E1352" s="17">
        <v>3</v>
      </c>
      <c r="F1352" s="32">
        <v>0</v>
      </c>
      <c r="G1352" s="6">
        <v>3</v>
      </c>
      <c r="H1352" s="6">
        <v>0</v>
      </c>
      <c r="I1352" s="6">
        <v>3</v>
      </c>
      <c r="J1352" s="6">
        <v>0</v>
      </c>
      <c r="K1352" s="6">
        <v>2</v>
      </c>
      <c r="L1352" s="6">
        <v>2</v>
      </c>
      <c r="M1352" s="6">
        <v>3</v>
      </c>
      <c r="N1352" s="6">
        <v>2</v>
      </c>
      <c r="O1352" s="31">
        <v>2</v>
      </c>
      <c r="P1352" s="32">
        <f t="shared" si="216"/>
        <v>0</v>
      </c>
      <c r="Q1352" s="6">
        <f t="shared" si="217"/>
        <v>3</v>
      </c>
      <c r="R1352" s="59">
        <f t="shared" si="218"/>
        <v>1</v>
      </c>
      <c r="S1352" s="1"/>
      <c r="T1352" s="1"/>
      <c r="U1352" s="1"/>
    </row>
    <row r="1353" spans="1:21" ht="9.75" customHeight="1" x14ac:dyDescent="0.4">
      <c r="A1353" s="1"/>
      <c r="B1353" s="1"/>
      <c r="C1353" s="17"/>
      <c r="D1353" s="17" t="s">
        <v>312</v>
      </c>
      <c r="E1353" s="17"/>
      <c r="F1353" s="32"/>
      <c r="G1353" s="6"/>
      <c r="H1353" s="6"/>
      <c r="I1353" s="6"/>
      <c r="J1353" s="6"/>
      <c r="K1353" s="6"/>
      <c r="L1353" s="6"/>
      <c r="M1353" s="6"/>
      <c r="N1353" s="6"/>
      <c r="O1353" s="31"/>
      <c r="P1353" s="32"/>
      <c r="Q1353" s="6"/>
      <c r="R1353" s="59"/>
      <c r="S1353" s="1"/>
      <c r="T1353" s="1"/>
      <c r="U1353" s="1"/>
    </row>
    <row r="1354" spans="1:21" ht="9.75" customHeight="1" x14ac:dyDescent="0.4">
      <c r="A1354" s="1"/>
      <c r="B1354" s="1"/>
      <c r="C1354" s="17"/>
      <c r="D1354" s="17" t="s">
        <v>313</v>
      </c>
      <c r="E1354" s="17"/>
      <c r="F1354" s="32"/>
      <c r="G1354" s="6"/>
      <c r="H1354" s="6"/>
      <c r="I1354" s="6"/>
      <c r="J1354" s="6"/>
      <c r="K1354" s="6"/>
      <c r="L1354" s="6"/>
      <c r="M1354" s="6"/>
      <c r="N1354" s="6"/>
      <c r="O1354" s="31"/>
      <c r="P1354" s="32"/>
      <c r="Q1354" s="6"/>
      <c r="R1354" s="59"/>
      <c r="S1354" s="1"/>
      <c r="T1354" s="1"/>
      <c r="U1354" s="1"/>
    </row>
    <row r="1355" spans="1:21" ht="9.75" customHeight="1" x14ac:dyDescent="0.4">
      <c r="A1355" s="1"/>
      <c r="B1355" s="1" t="s">
        <v>395</v>
      </c>
      <c r="C1355" s="34"/>
      <c r="D1355" s="65" t="s">
        <v>314</v>
      </c>
      <c r="E1355" s="65">
        <f t="shared" ref="E1355:O1355" si="219">SUM(E1337:E1354)</f>
        <v>111</v>
      </c>
      <c r="F1355" s="104">
        <f t="shared" si="219"/>
        <v>18</v>
      </c>
      <c r="G1355" s="128">
        <f t="shared" si="219"/>
        <v>13</v>
      </c>
      <c r="H1355" s="128">
        <f t="shared" si="219"/>
        <v>10</v>
      </c>
      <c r="I1355" s="128">
        <f t="shared" si="219"/>
        <v>11</v>
      </c>
      <c r="J1355" s="128">
        <f t="shared" si="219"/>
        <v>14</v>
      </c>
      <c r="K1355" s="128">
        <f t="shared" si="219"/>
        <v>14</v>
      </c>
      <c r="L1355" s="128">
        <f t="shared" si="219"/>
        <v>17</v>
      </c>
      <c r="M1355" s="128">
        <f t="shared" si="219"/>
        <v>18</v>
      </c>
      <c r="N1355" s="128">
        <f t="shared" si="219"/>
        <v>29</v>
      </c>
      <c r="O1355" s="129">
        <f t="shared" si="219"/>
        <v>35</v>
      </c>
      <c r="P1355" s="104">
        <f t="shared" ref="P1355:P1356" si="220">MIN(F1355:O1355)</f>
        <v>10</v>
      </c>
      <c r="Q1355" s="128">
        <f t="shared" ref="Q1355:Q1356" si="221">E1355-P1355</f>
        <v>101</v>
      </c>
      <c r="R1355" s="72">
        <f t="shared" ref="R1355:R1356" si="222">Q1355/E1355</f>
        <v>0.90990990990990994</v>
      </c>
      <c r="S1355" s="1"/>
      <c r="T1355" s="1"/>
      <c r="U1355" s="1"/>
    </row>
    <row r="1356" spans="1:21" ht="9.75" customHeight="1" x14ac:dyDescent="0.4">
      <c r="A1356" s="1"/>
      <c r="B1356" s="1"/>
      <c r="C1356" s="15" t="s">
        <v>150</v>
      </c>
      <c r="D1356" s="15" t="s">
        <v>300</v>
      </c>
      <c r="E1356" s="15">
        <v>93</v>
      </c>
      <c r="F1356" s="73">
        <v>5</v>
      </c>
      <c r="G1356" s="108">
        <v>0</v>
      </c>
      <c r="H1356" s="108">
        <v>0</v>
      </c>
      <c r="I1356" s="108">
        <v>0</v>
      </c>
      <c r="J1356" s="108">
        <v>1</v>
      </c>
      <c r="K1356" s="108">
        <v>1</v>
      </c>
      <c r="L1356" s="108">
        <v>1</v>
      </c>
      <c r="M1356" s="108">
        <v>0</v>
      </c>
      <c r="N1356" s="108">
        <v>4</v>
      </c>
      <c r="O1356" s="109">
        <v>8</v>
      </c>
      <c r="P1356" s="73">
        <f t="shared" si="220"/>
        <v>0</v>
      </c>
      <c r="Q1356" s="108">
        <f t="shared" si="221"/>
        <v>93</v>
      </c>
      <c r="R1356" s="188">
        <f t="shared" si="222"/>
        <v>1</v>
      </c>
      <c r="S1356" s="1"/>
      <c r="T1356" s="1"/>
      <c r="U1356" s="1"/>
    </row>
    <row r="1357" spans="1:21" ht="9.75" customHeight="1" x14ac:dyDescent="0.4">
      <c r="A1357" s="1"/>
      <c r="B1357" s="1"/>
      <c r="C1357" s="17"/>
      <c r="D1357" s="17" t="s">
        <v>301</v>
      </c>
      <c r="E1357" s="17"/>
      <c r="F1357" s="32"/>
      <c r="G1357" s="6"/>
      <c r="H1357" s="6"/>
      <c r="I1357" s="6"/>
      <c r="J1357" s="6"/>
      <c r="K1357" s="6"/>
      <c r="L1357" s="6"/>
      <c r="M1357" s="6"/>
      <c r="N1357" s="6"/>
      <c r="O1357" s="31"/>
      <c r="P1357" s="32"/>
      <c r="Q1357" s="6"/>
      <c r="R1357" s="59"/>
      <c r="S1357" s="1"/>
      <c r="T1357" s="1"/>
      <c r="U1357" s="1"/>
    </row>
    <row r="1358" spans="1:21" ht="9.75" customHeight="1" x14ac:dyDescent="0.4">
      <c r="A1358" s="1"/>
      <c r="B1358" s="1"/>
      <c r="C1358" s="17"/>
      <c r="D1358" s="17" t="s">
        <v>303</v>
      </c>
      <c r="E1358" s="17"/>
      <c r="F1358" s="32"/>
      <c r="G1358" s="6"/>
      <c r="H1358" s="6"/>
      <c r="I1358" s="6"/>
      <c r="J1358" s="6"/>
      <c r="K1358" s="6"/>
      <c r="L1358" s="6"/>
      <c r="M1358" s="6"/>
      <c r="N1358" s="6"/>
      <c r="O1358" s="31"/>
      <c r="P1358" s="32"/>
      <c r="Q1358" s="6"/>
      <c r="R1358" s="59"/>
      <c r="S1358" s="1"/>
      <c r="T1358" s="1"/>
      <c r="U1358" s="1"/>
    </row>
    <row r="1359" spans="1:21" ht="9.75" customHeight="1" x14ac:dyDescent="0.4">
      <c r="A1359" s="1"/>
      <c r="B1359" s="1"/>
      <c r="C1359" s="17"/>
      <c r="D1359" s="17" t="s">
        <v>421</v>
      </c>
      <c r="E1359" s="17">
        <f>52-8</f>
        <v>44</v>
      </c>
      <c r="F1359" s="32">
        <v>18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1</v>
      </c>
      <c r="M1359" s="6">
        <v>0</v>
      </c>
      <c r="N1359" s="6">
        <v>3</v>
      </c>
      <c r="O1359" s="31">
        <v>1</v>
      </c>
      <c r="P1359" s="32">
        <f>MIN(F1359:O1359)</f>
        <v>0</v>
      </c>
      <c r="Q1359" s="6">
        <f>E1359-P1359</f>
        <v>44</v>
      </c>
      <c r="R1359" s="59">
        <f>Q1359/E1359</f>
        <v>1</v>
      </c>
      <c r="S1359" s="1"/>
      <c r="T1359" s="1"/>
      <c r="U1359" s="1"/>
    </row>
    <row r="1360" spans="1:21" ht="9.75" customHeight="1" x14ac:dyDescent="0.4">
      <c r="A1360" s="1"/>
      <c r="B1360" s="1"/>
      <c r="C1360" s="17"/>
      <c r="D1360" s="17" t="s">
        <v>369</v>
      </c>
      <c r="E1360" s="17"/>
      <c r="F1360" s="32"/>
      <c r="G1360" s="6"/>
      <c r="H1360" s="6"/>
      <c r="I1360" s="6"/>
      <c r="J1360" s="6"/>
      <c r="K1360" s="6"/>
      <c r="L1360" s="6"/>
      <c r="M1360" s="6"/>
      <c r="N1360" s="6"/>
      <c r="O1360" s="31"/>
      <c r="P1360" s="32"/>
      <c r="Q1360" s="6"/>
      <c r="R1360" s="59"/>
      <c r="S1360" s="1"/>
      <c r="T1360" s="1"/>
      <c r="U1360" s="1"/>
    </row>
    <row r="1361" spans="1:21" ht="9.75" customHeight="1" x14ac:dyDescent="0.4">
      <c r="A1361" s="1"/>
      <c r="B1361" s="1"/>
      <c r="C1361" s="17"/>
      <c r="D1361" s="17" t="s">
        <v>308</v>
      </c>
      <c r="E1361" s="17"/>
      <c r="F1361" s="32"/>
      <c r="G1361" s="6"/>
      <c r="H1361" s="6"/>
      <c r="I1361" s="6"/>
      <c r="J1361" s="6"/>
      <c r="K1361" s="6"/>
      <c r="L1361" s="6"/>
      <c r="M1361" s="6"/>
      <c r="N1361" s="6"/>
      <c r="O1361" s="31"/>
      <c r="P1361" s="32"/>
      <c r="Q1361" s="6"/>
      <c r="R1361" s="59"/>
      <c r="S1361" s="1"/>
      <c r="T1361" s="1"/>
      <c r="U1361" s="1"/>
    </row>
    <row r="1362" spans="1:21" ht="9.75" customHeight="1" x14ac:dyDescent="0.4">
      <c r="A1362" s="1"/>
      <c r="B1362" s="1"/>
      <c r="C1362" s="17"/>
      <c r="D1362" s="17" t="s">
        <v>457</v>
      </c>
      <c r="E1362" s="17">
        <v>24</v>
      </c>
      <c r="F1362" s="32">
        <v>11</v>
      </c>
      <c r="G1362" s="6">
        <v>0</v>
      </c>
      <c r="H1362" s="6">
        <v>0</v>
      </c>
      <c r="I1362" s="6">
        <v>1</v>
      </c>
      <c r="J1362" s="6">
        <v>0</v>
      </c>
      <c r="K1362" s="6">
        <v>0</v>
      </c>
      <c r="L1362" s="6">
        <v>1</v>
      </c>
      <c r="M1362" s="6">
        <v>0</v>
      </c>
      <c r="N1362" s="6">
        <v>4</v>
      </c>
      <c r="O1362" s="31">
        <v>6</v>
      </c>
      <c r="P1362" s="32">
        <f>MIN(F1362:O1362)</f>
        <v>0</v>
      </c>
      <c r="Q1362" s="6">
        <f>E1362-P1362</f>
        <v>24</v>
      </c>
      <c r="R1362" s="59">
        <f>Q1362/E1362</f>
        <v>1</v>
      </c>
      <c r="S1362" s="1"/>
      <c r="T1362" s="1"/>
      <c r="U1362" s="1"/>
    </row>
    <row r="1363" spans="1:21" ht="9.75" customHeight="1" x14ac:dyDescent="0.4">
      <c r="A1363" s="1"/>
      <c r="B1363" s="1"/>
      <c r="C1363" s="17"/>
      <c r="D1363" s="17" t="s">
        <v>377</v>
      </c>
      <c r="E1363" s="17"/>
      <c r="F1363" s="32"/>
      <c r="G1363" s="6"/>
      <c r="H1363" s="6"/>
      <c r="I1363" s="6"/>
      <c r="J1363" s="6"/>
      <c r="K1363" s="6"/>
      <c r="L1363" s="6"/>
      <c r="M1363" s="6"/>
      <c r="N1363" s="6"/>
      <c r="O1363" s="31"/>
      <c r="P1363" s="32"/>
      <c r="Q1363" s="6"/>
      <c r="R1363" s="59"/>
      <c r="S1363" s="1"/>
      <c r="T1363" s="1"/>
      <c r="U1363" s="1"/>
    </row>
    <row r="1364" spans="1:21" ht="9.75" customHeight="1" x14ac:dyDescent="0.4">
      <c r="A1364" s="1"/>
      <c r="B1364" s="1"/>
      <c r="C1364" s="17"/>
      <c r="D1364" s="17" t="s">
        <v>374</v>
      </c>
      <c r="E1364" s="17"/>
      <c r="F1364" s="32"/>
      <c r="G1364" s="6"/>
      <c r="H1364" s="6"/>
      <c r="I1364" s="6"/>
      <c r="J1364" s="6"/>
      <c r="K1364" s="6"/>
      <c r="L1364" s="6"/>
      <c r="M1364" s="6"/>
      <c r="N1364" s="6"/>
      <c r="O1364" s="31"/>
      <c r="P1364" s="32"/>
      <c r="Q1364" s="6"/>
      <c r="R1364" s="59"/>
      <c r="S1364" s="1"/>
      <c r="T1364" s="1"/>
      <c r="U1364" s="1"/>
    </row>
    <row r="1365" spans="1:21" ht="9.75" customHeight="1" x14ac:dyDescent="0.4">
      <c r="A1365" s="1"/>
      <c r="B1365" s="1"/>
      <c r="C1365" s="17"/>
      <c r="D1365" s="17" t="s">
        <v>374</v>
      </c>
      <c r="E1365" s="17"/>
      <c r="F1365" s="32"/>
      <c r="G1365" s="6"/>
      <c r="H1365" s="6"/>
      <c r="I1365" s="6"/>
      <c r="J1365" s="6"/>
      <c r="K1365" s="6"/>
      <c r="L1365" s="6"/>
      <c r="M1365" s="6"/>
      <c r="N1365" s="6"/>
      <c r="O1365" s="31"/>
      <c r="P1365" s="32"/>
      <c r="Q1365" s="6"/>
      <c r="R1365" s="59"/>
      <c r="S1365" s="1"/>
      <c r="T1365" s="1"/>
      <c r="U1365" s="1"/>
    </row>
    <row r="1366" spans="1:21" ht="9.75" customHeight="1" x14ac:dyDescent="0.4">
      <c r="A1366" s="1"/>
      <c r="B1366" s="1"/>
      <c r="C1366" s="17"/>
      <c r="D1366" s="17" t="s">
        <v>374</v>
      </c>
      <c r="E1366" s="17"/>
      <c r="F1366" s="32"/>
      <c r="G1366" s="6"/>
      <c r="H1366" s="6"/>
      <c r="I1366" s="6"/>
      <c r="J1366" s="6"/>
      <c r="K1366" s="6"/>
      <c r="L1366" s="6"/>
      <c r="M1366" s="6"/>
      <c r="N1366" s="6"/>
      <c r="O1366" s="31"/>
      <c r="P1366" s="32"/>
      <c r="Q1366" s="6"/>
      <c r="R1366" s="59"/>
      <c r="S1366" s="1"/>
      <c r="T1366" s="1"/>
      <c r="U1366" s="1"/>
    </row>
    <row r="1367" spans="1:21" ht="9.75" customHeight="1" x14ac:dyDescent="0.4">
      <c r="A1367" s="1"/>
      <c r="B1367" s="1"/>
      <c r="C1367" s="17"/>
      <c r="D1367" s="17" t="s">
        <v>310</v>
      </c>
      <c r="E1367" s="17"/>
      <c r="F1367" s="32"/>
      <c r="G1367" s="6"/>
      <c r="H1367" s="6"/>
      <c r="I1367" s="6"/>
      <c r="J1367" s="6"/>
      <c r="K1367" s="6"/>
      <c r="L1367" s="6"/>
      <c r="M1367" s="6"/>
      <c r="N1367" s="6"/>
      <c r="O1367" s="31"/>
      <c r="P1367" s="32"/>
      <c r="Q1367" s="6"/>
      <c r="R1367" s="59"/>
      <c r="S1367" s="1"/>
      <c r="T1367" s="1"/>
      <c r="U1367" s="1"/>
    </row>
    <row r="1368" spans="1:21" ht="9.75" customHeight="1" x14ac:dyDescent="0.4">
      <c r="A1368" s="1"/>
      <c r="B1368" s="1"/>
      <c r="C1368" s="17"/>
      <c r="D1368" s="17" t="s">
        <v>456</v>
      </c>
      <c r="E1368" s="17">
        <v>4</v>
      </c>
      <c r="F1368" s="32">
        <v>0</v>
      </c>
      <c r="G1368" s="6">
        <v>2</v>
      </c>
      <c r="H1368" s="6">
        <v>3</v>
      </c>
      <c r="I1368" s="6">
        <v>3</v>
      </c>
      <c r="J1368" s="6">
        <v>2</v>
      </c>
      <c r="K1368" s="6">
        <v>2</v>
      </c>
      <c r="L1368" s="6">
        <v>2</v>
      </c>
      <c r="M1368" s="6">
        <v>3</v>
      </c>
      <c r="N1368" s="6">
        <v>3</v>
      </c>
      <c r="O1368" s="31">
        <v>3</v>
      </c>
      <c r="P1368" s="32">
        <f>MIN(F1368:O1368)</f>
        <v>0</v>
      </c>
      <c r="Q1368" s="6">
        <f>E1368-P1368</f>
        <v>4</v>
      </c>
      <c r="R1368" s="59">
        <f>Q1368/E1368</f>
        <v>1</v>
      </c>
      <c r="S1368" s="1"/>
      <c r="T1368" s="1"/>
      <c r="U1368" s="1"/>
    </row>
    <row r="1369" spans="1:21" ht="9.75" customHeight="1" x14ac:dyDescent="0.4">
      <c r="A1369" s="1"/>
      <c r="B1369" s="1"/>
      <c r="C1369" s="17"/>
      <c r="D1369" s="17" t="s">
        <v>312</v>
      </c>
      <c r="E1369" s="17"/>
      <c r="F1369" s="32"/>
      <c r="G1369" s="6"/>
      <c r="H1369" s="6"/>
      <c r="I1369" s="6"/>
      <c r="J1369" s="6"/>
      <c r="K1369" s="6"/>
      <c r="L1369" s="6"/>
      <c r="M1369" s="6"/>
      <c r="N1369" s="6"/>
      <c r="O1369" s="31"/>
      <c r="P1369" s="32"/>
      <c r="Q1369" s="6"/>
      <c r="R1369" s="59"/>
      <c r="S1369" s="1"/>
      <c r="T1369" s="1"/>
      <c r="U1369" s="1"/>
    </row>
    <row r="1370" spans="1:21" ht="9.75" customHeight="1" x14ac:dyDescent="0.4">
      <c r="A1370" s="1"/>
      <c r="B1370" s="1"/>
      <c r="C1370" s="17"/>
      <c r="D1370" s="17" t="s">
        <v>313</v>
      </c>
      <c r="E1370" s="17"/>
      <c r="F1370" s="32"/>
      <c r="G1370" s="6"/>
      <c r="H1370" s="6"/>
      <c r="I1370" s="6"/>
      <c r="J1370" s="6"/>
      <c r="K1370" s="6"/>
      <c r="L1370" s="6"/>
      <c r="M1370" s="6"/>
      <c r="N1370" s="6"/>
      <c r="O1370" s="31"/>
      <c r="P1370" s="32"/>
      <c r="Q1370" s="6"/>
      <c r="R1370" s="59"/>
      <c r="S1370" s="1"/>
      <c r="T1370" s="1"/>
      <c r="U1370" s="1"/>
    </row>
    <row r="1371" spans="1:21" ht="9.75" customHeight="1" x14ac:dyDescent="0.4">
      <c r="A1371" s="1"/>
      <c r="B1371" s="1" t="s">
        <v>395</v>
      </c>
      <c r="C1371" s="34"/>
      <c r="D1371" s="65" t="s">
        <v>314</v>
      </c>
      <c r="E1371" s="65">
        <f t="shared" ref="E1371:O1371" si="223">SUM(E1356:E1370)</f>
        <v>165</v>
      </c>
      <c r="F1371" s="104">
        <f t="shared" si="223"/>
        <v>34</v>
      </c>
      <c r="G1371" s="128">
        <f t="shared" si="223"/>
        <v>2</v>
      </c>
      <c r="H1371" s="128">
        <f t="shared" si="223"/>
        <v>3</v>
      </c>
      <c r="I1371" s="128">
        <f t="shared" si="223"/>
        <v>4</v>
      </c>
      <c r="J1371" s="128">
        <f t="shared" si="223"/>
        <v>3</v>
      </c>
      <c r="K1371" s="128">
        <f t="shared" si="223"/>
        <v>3</v>
      </c>
      <c r="L1371" s="128">
        <f t="shared" si="223"/>
        <v>5</v>
      </c>
      <c r="M1371" s="128">
        <f t="shared" si="223"/>
        <v>3</v>
      </c>
      <c r="N1371" s="128">
        <f t="shared" si="223"/>
        <v>14</v>
      </c>
      <c r="O1371" s="129">
        <f t="shared" si="223"/>
        <v>18</v>
      </c>
      <c r="P1371" s="104">
        <f t="shared" ref="P1371:P1372" si="224">MIN(F1371:O1371)</f>
        <v>2</v>
      </c>
      <c r="Q1371" s="128">
        <f t="shared" ref="Q1371:Q1372" si="225">E1371-P1371</f>
        <v>163</v>
      </c>
      <c r="R1371" s="72">
        <f t="shared" ref="R1371:R1372" si="226">Q1371/E1371</f>
        <v>0.98787878787878791</v>
      </c>
      <c r="S1371" s="1"/>
      <c r="T1371" s="1"/>
      <c r="U1371" s="1"/>
    </row>
    <row r="1372" spans="1:21" ht="9.75" customHeight="1" x14ac:dyDescent="0.4">
      <c r="A1372" s="1"/>
      <c r="B1372" s="1"/>
      <c r="C1372" s="15" t="s">
        <v>164</v>
      </c>
      <c r="D1372" s="15" t="s">
        <v>300</v>
      </c>
      <c r="E1372" s="17">
        <v>153</v>
      </c>
      <c r="F1372" s="32">
        <v>80</v>
      </c>
      <c r="G1372" s="6">
        <v>0</v>
      </c>
      <c r="H1372" s="6">
        <v>0</v>
      </c>
      <c r="I1372" s="58">
        <v>0</v>
      </c>
      <c r="J1372" s="6">
        <v>0</v>
      </c>
      <c r="K1372" s="6">
        <v>0</v>
      </c>
      <c r="L1372" s="6">
        <v>0</v>
      </c>
      <c r="M1372" s="6">
        <v>2</v>
      </c>
      <c r="N1372" s="6">
        <v>10</v>
      </c>
      <c r="O1372" s="31">
        <v>19</v>
      </c>
      <c r="P1372" s="32">
        <f t="shared" si="224"/>
        <v>0</v>
      </c>
      <c r="Q1372" s="6">
        <f t="shared" si="225"/>
        <v>153</v>
      </c>
      <c r="R1372" s="59">
        <f t="shared" si="226"/>
        <v>1</v>
      </c>
      <c r="S1372" s="1"/>
      <c r="T1372" s="1"/>
      <c r="U1372" s="1"/>
    </row>
    <row r="1373" spans="1:21" ht="9.75" customHeight="1" x14ac:dyDescent="0.4">
      <c r="A1373" s="1"/>
      <c r="B1373" s="1"/>
      <c r="C1373" s="17"/>
      <c r="D1373" s="17" t="s">
        <v>301</v>
      </c>
      <c r="E1373" s="17"/>
      <c r="F1373" s="32"/>
      <c r="G1373" s="6"/>
      <c r="H1373" s="6"/>
      <c r="I1373" s="6"/>
      <c r="J1373" s="6"/>
      <c r="K1373" s="6"/>
      <c r="L1373" s="6"/>
      <c r="M1373" s="6"/>
      <c r="N1373" s="6"/>
      <c r="O1373" s="31"/>
      <c r="P1373" s="32"/>
      <c r="Q1373" s="6"/>
      <c r="R1373" s="59"/>
      <c r="S1373" s="1"/>
      <c r="T1373" s="1"/>
      <c r="U1373" s="1"/>
    </row>
    <row r="1374" spans="1:21" ht="9.75" customHeight="1" x14ac:dyDescent="0.4">
      <c r="A1374" s="1"/>
      <c r="B1374" s="1"/>
      <c r="C1374" s="17"/>
      <c r="D1374" s="17" t="s">
        <v>303</v>
      </c>
      <c r="E1374" s="17"/>
      <c r="F1374" s="32"/>
      <c r="G1374" s="6"/>
      <c r="H1374" s="6"/>
      <c r="I1374" s="6"/>
      <c r="J1374" s="6"/>
      <c r="K1374" s="6"/>
      <c r="L1374" s="6"/>
      <c r="M1374" s="6"/>
      <c r="N1374" s="6"/>
      <c r="O1374" s="31"/>
      <c r="P1374" s="32"/>
      <c r="Q1374" s="6"/>
      <c r="R1374" s="59"/>
      <c r="S1374" s="1"/>
      <c r="T1374" s="1"/>
      <c r="U1374" s="1"/>
    </row>
    <row r="1375" spans="1:21" ht="9.75" customHeight="1" x14ac:dyDescent="0.4">
      <c r="A1375" s="1"/>
      <c r="B1375" s="1"/>
      <c r="C1375" s="17"/>
      <c r="D1375" s="17" t="s">
        <v>369</v>
      </c>
      <c r="E1375" s="17"/>
      <c r="F1375" s="32"/>
      <c r="G1375" s="6"/>
      <c r="H1375" s="6"/>
      <c r="I1375" s="6"/>
      <c r="J1375" s="6"/>
      <c r="K1375" s="6"/>
      <c r="L1375" s="6"/>
      <c r="M1375" s="6"/>
      <c r="N1375" s="6"/>
      <c r="O1375" s="31"/>
      <c r="P1375" s="32"/>
      <c r="Q1375" s="6"/>
      <c r="R1375" s="59"/>
      <c r="S1375" s="1"/>
      <c r="T1375" s="1"/>
      <c r="U1375" s="1"/>
    </row>
    <row r="1376" spans="1:21" ht="9.75" customHeight="1" x14ac:dyDescent="0.4">
      <c r="A1376" s="1"/>
      <c r="B1376" s="1"/>
      <c r="C1376" s="17"/>
      <c r="D1376" s="17" t="s">
        <v>369</v>
      </c>
      <c r="E1376" s="17"/>
      <c r="F1376" s="32"/>
      <c r="G1376" s="6"/>
      <c r="H1376" s="6"/>
      <c r="I1376" s="6"/>
      <c r="J1376" s="6"/>
      <c r="K1376" s="6"/>
      <c r="L1376" s="6"/>
      <c r="M1376" s="6"/>
      <c r="N1376" s="6"/>
      <c r="O1376" s="31"/>
      <c r="P1376" s="32"/>
      <c r="Q1376" s="6"/>
      <c r="R1376" s="59"/>
      <c r="S1376" s="1"/>
      <c r="T1376" s="1"/>
      <c r="U1376" s="1"/>
    </row>
    <row r="1377" spans="1:21" ht="9.75" customHeight="1" x14ac:dyDescent="0.4">
      <c r="A1377" s="1"/>
      <c r="B1377" s="1"/>
      <c r="C1377" s="17"/>
      <c r="D1377" s="17" t="s">
        <v>308</v>
      </c>
      <c r="E1377" s="17"/>
      <c r="F1377" s="32"/>
      <c r="G1377" s="6"/>
      <c r="H1377" s="6"/>
      <c r="I1377" s="6"/>
      <c r="J1377" s="6"/>
      <c r="K1377" s="6"/>
      <c r="L1377" s="6"/>
      <c r="M1377" s="6"/>
      <c r="N1377" s="6"/>
      <c r="O1377" s="31"/>
      <c r="P1377" s="32"/>
      <c r="Q1377" s="6"/>
      <c r="R1377" s="59"/>
      <c r="S1377" s="1"/>
      <c r="T1377" s="1"/>
      <c r="U1377" s="1"/>
    </row>
    <row r="1378" spans="1:21" ht="9.75" customHeight="1" x14ac:dyDescent="0.4">
      <c r="A1378" s="1"/>
      <c r="B1378" s="1"/>
      <c r="C1378" s="17"/>
      <c r="D1378" s="17" t="s">
        <v>377</v>
      </c>
      <c r="E1378" s="17"/>
      <c r="F1378" s="32"/>
      <c r="G1378" s="6"/>
      <c r="H1378" s="6"/>
      <c r="I1378" s="6"/>
      <c r="J1378" s="6"/>
      <c r="K1378" s="6"/>
      <c r="L1378" s="6"/>
      <c r="M1378" s="6"/>
      <c r="N1378" s="6"/>
      <c r="O1378" s="31"/>
      <c r="P1378" s="32"/>
      <c r="Q1378" s="6"/>
      <c r="R1378" s="59"/>
      <c r="S1378" s="1"/>
      <c r="T1378" s="1"/>
      <c r="U1378" s="1"/>
    </row>
    <row r="1379" spans="1:21" ht="9.75" customHeight="1" x14ac:dyDescent="0.4">
      <c r="A1379" s="1"/>
      <c r="B1379" s="1"/>
      <c r="C1379" s="17"/>
      <c r="D1379" s="17" t="s">
        <v>374</v>
      </c>
      <c r="E1379" s="17"/>
      <c r="F1379" s="32"/>
      <c r="G1379" s="6"/>
      <c r="H1379" s="6"/>
      <c r="I1379" s="6"/>
      <c r="J1379" s="6"/>
      <c r="K1379" s="6"/>
      <c r="L1379" s="6"/>
      <c r="M1379" s="6"/>
      <c r="N1379" s="6"/>
      <c r="O1379" s="31"/>
      <c r="P1379" s="32"/>
      <c r="Q1379" s="6"/>
      <c r="R1379" s="59"/>
      <c r="S1379" s="1"/>
      <c r="T1379" s="1"/>
      <c r="U1379" s="1"/>
    </row>
    <row r="1380" spans="1:21" ht="9.75" customHeight="1" x14ac:dyDescent="0.4">
      <c r="A1380" s="1"/>
      <c r="B1380" s="1"/>
      <c r="C1380" s="17"/>
      <c r="D1380" s="17" t="s">
        <v>374</v>
      </c>
      <c r="E1380" s="17"/>
      <c r="F1380" s="32"/>
      <c r="G1380" s="6"/>
      <c r="H1380" s="6"/>
      <c r="I1380" s="6"/>
      <c r="J1380" s="6"/>
      <c r="K1380" s="6"/>
      <c r="L1380" s="6"/>
      <c r="M1380" s="6"/>
      <c r="N1380" s="6"/>
      <c r="O1380" s="31"/>
      <c r="P1380" s="32"/>
      <c r="Q1380" s="6"/>
      <c r="R1380" s="59"/>
      <c r="S1380" s="1"/>
      <c r="T1380" s="1"/>
      <c r="U1380" s="1"/>
    </row>
    <row r="1381" spans="1:21" ht="9.75" customHeight="1" x14ac:dyDescent="0.4">
      <c r="A1381" s="1"/>
      <c r="B1381" s="1"/>
      <c r="C1381" s="17"/>
      <c r="D1381" s="17" t="s">
        <v>374</v>
      </c>
      <c r="E1381" s="17"/>
      <c r="F1381" s="32"/>
      <c r="G1381" s="6"/>
      <c r="H1381" s="6"/>
      <c r="I1381" s="6"/>
      <c r="J1381" s="6"/>
      <c r="K1381" s="6"/>
      <c r="L1381" s="6"/>
      <c r="M1381" s="6"/>
      <c r="N1381" s="6"/>
      <c r="O1381" s="31"/>
      <c r="P1381" s="32"/>
      <c r="Q1381" s="6"/>
      <c r="R1381" s="59"/>
      <c r="S1381" s="1"/>
      <c r="T1381" s="1"/>
      <c r="U1381" s="1"/>
    </row>
    <row r="1382" spans="1:21" ht="9.75" customHeight="1" x14ac:dyDescent="0.4">
      <c r="A1382" s="1"/>
      <c r="B1382" s="1"/>
      <c r="C1382" s="17"/>
      <c r="D1382" s="17" t="s">
        <v>374</v>
      </c>
      <c r="E1382" s="17"/>
      <c r="F1382" s="32"/>
      <c r="G1382" s="6"/>
      <c r="H1382" s="6"/>
      <c r="I1382" s="6"/>
      <c r="J1382" s="6"/>
      <c r="K1382" s="6"/>
      <c r="L1382" s="6"/>
      <c r="M1382" s="6"/>
      <c r="N1382" s="6"/>
      <c r="O1382" s="31"/>
      <c r="P1382" s="32"/>
      <c r="Q1382" s="6"/>
      <c r="R1382" s="59"/>
      <c r="S1382" s="1"/>
      <c r="T1382" s="1"/>
      <c r="U1382" s="1"/>
    </row>
    <row r="1383" spans="1:21" ht="9.75" customHeight="1" x14ac:dyDescent="0.4">
      <c r="A1383" s="1"/>
      <c r="B1383" s="1"/>
      <c r="C1383" s="17"/>
      <c r="D1383" s="17" t="s">
        <v>374</v>
      </c>
      <c r="E1383" s="17"/>
      <c r="F1383" s="32"/>
      <c r="G1383" s="6"/>
      <c r="H1383" s="6"/>
      <c r="I1383" s="6"/>
      <c r="J1383" s="6"/>
      <c r="K1383" s="6"/>
      <c r="L1383" s="6"/>
      <c r="M1383" s="6"/>
      <c r="N1383" s="6"/>
      <c r="O1383" s="31"/>
      <c r="P1383" s="32"/>
      <c r="Q1383" s="6"/>
      <c r="R1383" s="59"/>
      <c r="S1383" s="1"/>
      <c r="T1383" s="1"/>
      <c r="U1383" s="1"/>
    </row>
    <row r="1384" spans="1:21" ht="9.75" customHeight="1" x14ac:dyDescent="0.4">
      <c r="A1384" s="1"/>
      <c r="B1384" s="1"/>
      <c r="C1384" s="17"/>
      <c r="D1384" s="17" t="s">
        <v>310</v>
      </c>
      <c r="E1384" s="17"/>
      <c r="F1384" s="32"/>
      <c r="G1384" s="6"/>
      <c r="H1384" s="6"/>
      <c r="I1384" s="6"/>
      <c r="J1384" s="6"/>
      <c r="K1384" s="6"/>
      <c r="L1384" s="6"/>
      <c r="M1384" s="6"/>
      <c r="N1384" s="6"/>
      <c r="O1384" s="31"/>
      <c r="P1384" s="32"/>
      <c r="Q1384" s="6"/>
      <c r="R1384" s="59"/>
      <c r="S1384" s="1"/>
      <c r="T1384" s="1"/>
      <c r="U1384" s="1"/>
    </row>
    <row r="1385" spans="1:21" ht="9.75" customHeight="1" x14ac:dyDescent="0.4">
      <c r="A1385" s="1"/>
      <c r="B1385" s="1"/>
      <c r="C1385" s="17"/>
      <c r="D1385" s="17" t="s">
        <v>456</v>
      </c>
      <c r="E1385" s="17">
        <v>4</v>
      </c>
      <c r="F1385" s="32">
        <v>4</v>
      </c>
      <c r="G1385" s="6">
        <v>3</v>
      </c>
      <c r="H1385" s="6">
        <v>3</v>
      </c>
      <c r="I1385" s="6">
        <v>3</v>
      </c>
      <c r="J1385" s="6">
        <v>3</v>
      </c>
      <c r="K1385" s="6">
        <v>3</v>
      </c>
      <c r="L1385" s="6">
        <v>2</v>
      </c>
      <c r="M1385" s="6">
        <v>2</v>
      </c>
      <c r="N1385" s="6">
        <v>3</v>
      </c>
      <c r="O1385" s="31">
        <v>3</v>
      </c>
      <c r="P1385" s="32">
        <f>MIN(F1385:O1385)</f>
        <v>2</v>
      </c>
      <c r="Q1385" s="6">
        <f>E1385-P1385</f>
        <v>2</v>
      </c>
      <c r="R1385" s="59">
        <f>Q1385/E1385</f>
        <v>0.5</v>
      </c>
      <c r="S1385" s="1"/>
      <c r="T1385" s="1"/>
      <c r="U1385" s="1"/>
    </row>
    <row r="1386" spans="1:21" ht="9.75" customHeight="1" x14ac:dyDescent="0.4">
      <c r="A1386" s="1"/>
      <c r="B1386" s="1"/>
      <c r="C1386" s="17"/>
      <c r="D1386" s="17" t="s">
        <v>312</v>
      </c>
      <c r="E1386" s="17"/>
      <c r="F1386" s="32"/>
      <c r="G1386" s="6"/>
      <c r="H1386" s="6"/>
      <c r="I1386" s="6"/>
      <c r="J1386" s="6"/>
      <c r="K1386" s="6"/>
      <c r="L1386" s="6"/>
      <c r="M1386" s="6"/>
      <c r="N1386" s="6"/>
      <c r="O1386" s="31"/>
      <c r="P1386" s="32"/>
      <c r="Q1386" s="6"/>
      <c r="R1386" s="59"/>
      <c r="S1386" s="1"/>
      <c r="T1386" s="1"/>
      <c r="U1386" s="1"/>
    </row>
    <row r="1387" spans="1:21" ht="9.75" customHeight="1" x14ac:dyDescent="0.4">
      <c r="A1387" s="1"/>
      <c r="B1387" s="1"/>
      <c r="C1387" s="17"/>
      <c r="D1387" s="17" t="s">
        <v>313</v>
      </c>
      <c r="E1387" s="17"/>
      <c r="F1387" s="32"/>
      <c r="G1387" s="6"/>
      <c r="H1387" s="6"/>
      <c r="I1387" s="6"/>
      <c r="J1387" s="6"/>
      <c r="K1387" s="6"/>
      <c r="L1387" s="6"/>
      <c r="M1387" s="6"/>
      <c r="N1387" s="6"/>
      <c r="O1387" s="31"/>
      <c r="P1387" s="32"/>
      <c r="Q1387" s="6"/>
      <c r="R1387" s="59"/>
      <c r="S1387" s="1"/>
      <c r="T1387" s="1"/>
      <c r="U1387" s="1"/>
    </row>
    <row r="1388" spans="1:21" ht="9.75" customHeight="1" x14ac:dyDescent="0.4">
      <c r="A1388" s="1"/>
      <c r="B1388" s="1" t="s">
        <v>395</v>
      </c>
      <c r="C1388" s="34"/>
      <c r="D1388" s="65" t="s">
        <v>314</v>
      </c>
      <c r="E1388" s="65">
        <f t="shared" ref="E1388:O1388" si="227">SUM(E1372:E1387)</f>
        <v>157</v>
      </c>
      <c r="F1388" s="104">
        <f t="shared" si="227"/>
        <v>84</v>
      </c>
      <c r="G1388" s="128">
        <f t="shared" si="227"/>
        <v>3</v>
      </c>
      <c r="H1388" s="128">
        <f t="shared" si="227"/>
        <v>3</v>
      </c>
      <c r="I1388" s="71">
        <f t="shared" si="227"/>
        <v>3</v>
      </c>
      <c r="J1388" s="128">
        <f t="shared" si="227"/>
        <v>3</v>
      </c>
      <c r="K1388" s="128">
        <f t="shared" si="227"/>
        <v>3</v>
      </c>
      <c r="L1388" s="128">
        <f t="shared" si="227"/>
        <v>2</v>
      </c>
      <c r="M1388" s="128">
        <f t="shared" si="227"/>
        <v>4</v>
      </c>
      <c r="N1388" s="128">
        <f t="shared" si="227"/>
        <v>13</v>
      </c>
      <c r="O1388" s="129">
        <f t="shared" si="227"/>
        <v>22</v>
      </c>
      <c r="P1388" s="104">
        <f t="shared" ref="P1388:P1389" si="228">MIN(F1388:O1388)</f>
        <v>2</v>
      </c>
      <c r="Q1388" s="128">
        <f t="shared" ref="Q1388:Q1389" si="229">E1388-P1388</f>
        <v>155</v>
      </c>
      <c r="R1388" s="72">
        <f t="shared" ref="R1388:R1389" si="230">Q1388/E1388</f>
        <v>0.98726114649681529</v>
      </c>
      <c r="S1388" s="1"/>
      <c r="T1388" s="1"/>
      <c r="U1388" s="1"/>
    </row>
    <row r="1389" spans="1:21" ht="9.75" customHeight="1" x14ac:dyDescent="0.4">
      <c r="A1389" s="1"/>
      <c r="B1389" s="1"/>
      <c r="C1389" s="15" t="s">
        <v>177</v>
      </c>
      <c r="D1389" s="15" t="s">
        <v>300</v>
      </c>
      <c r="E1389" s="17">
        <v>155</v>
      </c>
      <c r="F1389" s="32">
        <f>E1389-14</f>
        <v>141</v>
      </c>
      <c r="G1389" s="6">
        <v>35</v>
      </c>
      <c r="H1389" s="6">
        <v>0</v>
      </c>
      <c r="I1389" s="6">
        <v>0</v>
      </c>
      <c r="J1389" s="6">
        <v>0</v>
      </c>
      <c r="K1389" s="6">
        <v>1</v>
      </c>
      <c r="L1389" s="6">
        <v>3</v>
      </c>
      <c r="M1389" s="6">
        <v>0</v>
      </c>
      <c r="N1389" s="6">
        <v>14</v>
      </c>
      <c r="O1389" s="31">
        <v>24</v>
      </c>
      <c r="P1389" s="32">
        <f t="shared" si="228"/>
        <v>0</v>
      </c>
      <c r="Q1389" s="6">
        <f t="shared" si="229"/>
        <v>155</v>
      </c>
      <c r="R1389" s="59">
        <f t="shared" si="230"/>
        <v>1</v>
      </c>
      <c r="S1389" s="1"/>
      <c r="T1389" s="1"/>
      <c r="U1389" s="1"/>
    </row>
    <row r="1390" spans="1:21" ht="9.75" customHeight="1" x14ac:dyDescent="0.4">
      <c r="A1390" s="1"/>
      <c r="B1390" s="1"/>
      <c r="C1390" s="17"/>
      <c r="D1390" s="17" t="s">
        <v>301</v>
      </c>
      <c r="E1390" s="17"/>
      <c r="F1390" s="32"/>
      <c r="G1390" s="6"/>
      <c r="H1390" s="6"/>
      <c r="I1390" s="6"/>
      <c r="J1390" s="6"/>
      <c r="K1390" s="6"/>
      <c r="L1390" s="6"/>
      <c r="M1390" s="6"/>
      <c r="N1390" s="6"/>
      <c r="O1390" s="31"/>
      <c r="P1390" s="32"/>
      <c r="Q1390" s="6"/>
      <c r="R1390" s="59"/>
      <c r="S1390" s="1"/>
      <c r="T1390" s="1"/>
      <c r="U1390" s="1"/>
    </row>
    <row r="1391" spans="1:21" ht="9.75" customHeight="1" x14ac:dyDescent="0.4">
      <c r="A1391" s="1"/>
      <c r="B1391" s="1"/>
      <c r="C1391" s="17"/>
      <c r="D1391" s="17" t="s">
        <v>303</v>
      </c>
      <c r="E1391" s="17"/>
      <c r="F1391" s="32"/>
      <c r="G1391" s="6"/>
      <c r="H1391" s="6"/>
      <c r="I1391" s="6"/>
      <c r="J1391" s="6"/>
      <c r="K1391" s="6"/>
      <c r="L1391" s="6"/>
      <c r="M1391" s="6"/>
      <c r="N1391" s="6"/>
      <c r="O1391" s="31"/>
      <c r="P1391" s="32"/>
      <c r="Q1391" s="6"/>
      <c r="R1391" s="59"/>
      <c r="S1391" s="1"/>
      <c r="T1391" s="1"/>
      <c r="U1391" s="1"/>
    </row>
    <row r="1392" spans="1:21" ht="9.75" customHeight="1" x14ac:dyDescent="0.4">
      <c r="A1392" s="1"/>
      <c r="B1392" s="1"/>
      <c r="C1392" s="17"/>
      <c r="D1392" s="17" t="s">
        <v>369</v>
      </c>
      <c r="E1392" s="17"/>
      <c r="F1392" s="32"/>
      <c r="G1392" s="6"/>
      <c r="H1392" s="6"/>
      <c r="I1392" s="6"/>
      <c r="J1392" s="6"/>
      <c r="K1392" s="6"/>
      <c r="L1392" s="6"/>
      <c r="M1392" s="6"/>
      <c r="N1392" s="6"/>
      <c r="O1392" s="31"/>
      <c r="P1392" s="32"/>
      <c r="Q1392" s="6"/>
      <c r="R1392" s="59"/>
      <c r="S1392" s="1"/>
      <c r="T1392" s="1"/>
      <c r="U1392" s="1"/>
    </row>
    <row r="1393" spans="1:21" ht="9.75" customHeight="1" x14ac:dyDescent="0.4">
      <c r="A1393" s="1"/>
      <c r="B1393" s="1"/>
      <c r="C1393" s="17"/>
      <c r="D1393" s="17" t="s">
        <v>369</v>
      </c>
      <c r="E1393" s="17"/>
      <c r="F1393" s="32"/>
      <c r="G1393" s="6"/>
      <c r="H1393" s="6"/>
      <c r="I1393" s="6"/>
      <c r="J1393" s="6"/>
      <c r="K1393" s="6"/>
      <c r="L1393" s="6"/>
      <c r="M1393" s="6"/>
      <c r="N1393" s="6"/>
      <c r="O1393" s="31"/>
      <c r="P1393" s="32"/>
      <c r="Q1393" s="6"/>
      <c r="R1393" s="59"/>
      <c r="S1393" s="1"/>
      <c r="T1393" s="1"/>
      <c r="U1393" s="1"/>
    </row>
    <row r="1394" spans="1:21" ht="9.75" customHeight="1" x14ac:dyDescent="0.4">
      <c r="A1394" s="1"/>
      <c r="B1394" s="1"/>
      <c r="C1394" s="17"/>
      <c r="D1394" s="17" t="s">
        <v>308</v>
      </c>
      <c r="E1394" s="17"/>
      <c r="F1394" s="32"/>
      <c r="G1394" s="6"/>
      <c r="H1394" s="6"/>
      <c r="I1394" s="6"/>
      <c r="J1394" s="6"/>
      <c r="K1394" s="6"/>
      <c r="L1394" s="6"/>
      <c r="M1394" s="6"/>
      <c r="N1394" s="6"/>
      <c r="O1394" s="31"/>
      <c r="P1394" s="32"/>
      <c r="Q1394" s="6"/>
      <c r="R1394" s="59"/>
      <c r="S1394" s="1"/>
      <c r="T1394" s="1"/>
      <c r="U1394" s="1"/>
    </row>
    <row r="1395" spans="1:21" ht="9.75" customHeight="1" x14ac:dyDescent="0.4">
      <c r="A1395" s="1"/>
      <c r="B1395" s="1"/>
      <c r="C1395" s="17"/>
      <c r="D1395" s="17" t="s">
        <v>377</v>
      </c>
      <c r="E1395" s="17"/>
      <c r="F1395" s="32"/>
      <c r="G1395" s="6"/>
      <c r="H1395" s="6"/>
      <c r="I1395" s="6"/>
      <c r="J1395" s="6"/>
      <c r="K1395" s="6"/>
      <c r="L1395" s="6"/>
      <c r="M1395" s="6"/>
      <c r="N1395" s="6"/>
      <c r="O1395" s="31"/>
      <c r="P1395" s="32"/>
      <c r="Q1395" s="6"/>
      <c r="R1395" s="59"/>
      <c r="S1395" s="1"/>
      <c r="T1395" s="1"/>
      <c r="U1395" s="1"/>
    </row>
    <row r="1396" spans="1:21" ht="9.75" customHeight="1" x14ac:dyDescent="0.4">
      <c r="A1396" s="1"/>
      <c r="B1396" s="1"/>
      <c r="C1396" s="17"/>
      <c r="D1396" s="17" t="s">
        <v>374</v>
      </c>
      <c r="E1396" s="17"/>
      <c r="F1396" s="32"/>
      <c r="G1396" s="6"/>
      <c r="H1396" s="6"/>
      <c r="I1396" s="6"/>
      <c r="J1396" s="6"/>
      <c r="K1396" s="6"/>
      <c r="L1396" s="6"/>
      <c r="M1396" s="6"/>
      <c r="N1396" s="6"/>
      <c r="O1396" s="31"/>
      <c r="P1396" s="32"/>
      <c r="Q1396" s="6"/>
      <c r="R1396" s="59"/>
      <c r="S1396" s="1"/>
      <c r="T1396" s="1"/>
      <c r="U1396" s="1"/>
    </row>
    <row r="1397" spans="1:21" ht="9.75" customHeight="1" x14ac:dyDescent="0.4">
      <c r="A1397" s="1"/>
      <c r="B1397" s="1"/>
      <c r="C1397" s="17"/>
      <c r="D1397" s="17" t="s">
        <v>374</v>
      </c>
      <c r="E1397" s="17"/>
      <c r="F1397" s="32"/>
      <c r="G1397" s="6"/>
      <c r="H1397" s="6"/>
      <c r="I1397" s="6"/>
      <c r="J1397" s="6"/>
      <c r="K1397" s="6"/>
      <c r="L1397" s="6"/>
      <c r="M1397" s="6"/>
      <c r="N1397" s="6"/>
      <c r="O1397" s="31"/>
      <c r="P1397" s="32"/>
      <c r="Q1397" s="6"/>
      <c r="R1397" s="59"/>
      <c r="S1397" s="1"/>
      <c r="T1397" s="1"/>
      <c r="U1397" s="1"/>
    </row>
    <row r="1398" spans="1:21" ht="9.75" customHeight="1" x14ac:dyDescent="0.4">
      <c r="A1398" s="1"/>
      <c r="B1398" s="1"/>
      <c r="C1398" s="17"/>
      <c r="D1398" s="17" t="s">
        <v>374</v>
      </c>
      <c r="E1398" s="17"/>
      <c r="F1398" s="32"/>
      <c r="G1398" s="6"/>
      <c r="H1398" s="6"/>
      <c r="I1398" s="6"/>
      <c r="J1398" s="6"/>
      <c r="K1398" s="6"/>
      <c r="L1398" s="6"/>
      <c r="M1398" s="6"/>
      <c r="N1398" s="6"/>
      <c r="O1398" s="31"/>
      <c r="P1398" s="32"/>
      <c r="Q1398" s="6"/>
      <c r="R1398" s="59"/>
      <c r="S1398" s="1"/>
      <c r="T1398" s="1"/>
      <c r="U1398" s="1"/>
    </row>
    <row r="1399" spans="1:21" ht="9.75" customHeight="1" x14ac:dyDescent="0.4">
      <c r="A1399" s="1"/>
      <c r="B1399" s="1"/>
      <c r="C1399" s="17"/>
      <c r="D1399" s="17" t="s">
        <v>374</v>
      </c>
      <c r="E1399" s="17"/>
      <c r="F1399" s="32"/>
      <c r="G1399" s="6"/>
      <c r="H1399" s="6"/>
      <c r="I1399" s="6"/>
      <c r="J1399" s="6"/>
      <c r="K1399" s="6"/>
      <c r="L1399" s="6"/>
      <c r="M1399" s="6"/>
      <c r="N1399" s="6"/>
      <c r="O1399" s="31"/>
      <c r="P1399" s="32"/>
      <c r="Q1399" s="6"/>
      <c r="R1399" s="59"/>
      <c r="S1399" s="1"/>
      <c r="T1399" s="1"/>
      <c r="U1399" s="1"/>
    </row>
    <row r="1400" spans="1:21" ht="9.75" customHeight="1" x14ac:dyDescent="0.4">
      <c r="A1400" s="1"/>
      <c r="B1400" s="1"/>
      <c r="C1400" s="17"/>
      <c r="D1400" s="17" t="s">
        <v>374</v>
      </c>
      <c r="E1400" s="17"/>
      <c r="F1400" s="32"/>
      <c r="G1400" s="6"/>
      <c r="H1400" s="6"/>
      <c r="I1400" s="6"/>
      <c r="J1400" s="6"/>
      <c r="K1400" s="6"/>
      <c r="L1400" s="6"/>
      <c r="M1400" s="6"/>
      <c r="N1400" s="6"/>
      <c r="O1400" s="31"/>
      <c r="P1400" s="32"/>
      <c r="Q1400" s="6"/>
      <c r="R1400" s="59"/>
      <c r="S1400" s="1"/>
      <c r="T1400" s="1"/>
      <c r="U1400" s="1"/>
    </row>
    <row r="1401" spans="1:21" ht="9.75" customHeight="1" x14ac:dyDescent="0.4">
      <c r="A1401" s="1"/>
      <c r="B1401" s="1"/>
      <c r="C1401" s="17"/>
      <c r="D1401" s="17" t="s">
        <v>310</v>
      </c>
      <c r="E1401" s="17"/>
      <c r="F1401" s="32"/>
      <c r="G1401" s="6"/>
      <c r="H1401" s="6"/>
      <c r="I1401" s="6"/>
      <c r="J1401" s="6"/>
      <c r="K1401" s="6"/>
      <c r="L1401" s="6"/>
      <c r="M1401" s="6"/>
      <c r="N1401" s="6"/>
      <c r="O1401" s="31"/>
      <c r="P1401" s="32"/>
      <c r="Q1401" s="6"/>
      <c r="R1401" s="59"/>
      <c r="S1401" s="1"/>
      <c r="T1401" s="1"/>
      <c r="U1401" s="1"/>
    </row>
    <row r="1402" spans="1:21" ht="9.75" customHeight="1" x14ac:dyDescent="0.4">
      <c r="A1402" s="1"/>
      <c r="B1402" s="1"/>
      <c r="C1402" s="17"/>
      <c r="D1402" s="17" t="s">
        <v>456</v>
      </c>
      <c r="E1402" s="17">
        <v>3</v>
      </c>
      <c r="F1402" s="32">
        <v>3</v>
      </c>
      <c r="G1402" s="6">
        <v>3</v>
      </c>
      <c r="H1402" s="6">
        <v>3</v>
      </c>
      <c r="I1402" s="6">
        <v>3</v>
      </c>
      <c r="J1402" s="6">
        <v>3</v>
      </c>
      <c r="K1402" s="6">
        <v>2</v>
      </c>
      <c r="L1402" s="6">
        <v>2</v>
      </c>
      <c r="M1402" s="6">
        <v>2</v>
      </c>
      <c r="N1402" s="6">
        <v>3</v>
      </c>
      <c r="O1402" s="6">
        <v>3</v>
      </c>
      <c r="P1402" s="32">
        <f>MIN(F1402:O1402)</f>
        <v>2</v>
      </c>
      <c r="Q1402" s="6">
        <f>E1402-P1402</f>
        <v>1</v>
      </c>
      <c r="R1402" s="59">
        <f>Q1402/E1402</f>
        <v>0.33333333333333331</v>
      </c>
      <c r="S1402" s="1"/>
      <c r="T1402" s="1"/>
      <c r="U1402" s="1"/>
    </row>
    <row r="1403" spans="1:21" ht="9.75" customHeight="1" x14ac:dyDescent="0.4">
      <c r="A1403" s="1"/>
      <c r="B1403" s="1"/>
      <c r="C1403" s="17"/>
      <c r="D1403" s="17" t="s">
        <v>312</v>
      </c>
      <c r="E1403" s="17"/>
      <c r="F1403" s="32"/>
      <c r="G1403" s="6"/>
      <c r="H1403" s="6"/>
      <c r="I1403" s="6"/>
      <c r="J1403" s="6"/>
      <c r="K1403" s="6"/>
      <c r="L1403" s="6"/>
      <c r="M1403" s="6"/>
      <c r="N1403" s="6"/>
      <c r="O1403" s="31"/>
      <c r="P1403" s="32"/>
      <c r="Q1403" s="6"/>
      <c r="R1403" s="59"/>
      <c r="S1403" s="1"/>
      <c r="T1403" s="1"/>
      <c r="U1403" s="1"/>
    </row>
    <row r="1404" spans="1:21" ht="9.75" customHeight="1" x14ac:dyDescent="0.4">
      <c r="A1404" s="1"/>
      <c r="B1404" s="1"/>
      <c r="C1404" s="17"/>
      <c r="D1404" s="17" t="s">
        <v>313</v>
      </c>
      <c r="E1404" s="17"/>
      <c r="F1404" s="32"/>
      <c r="G1404" s="6"/>
      <c r="H1404" s="6"/>
      <c r="I1404" s="6"/>
      <c r="J1404" s="6"/>
      <c r="K1404" s="6"/>
      <c r="L1404" s="6"/>
      <c r="M1404" s="6"/>
      <c r="N1404" s="6"/>
      <c r="O1404" s="31"/>
      <c r="P1404" s="32"/>
      <c r="Q1404" s="6"/>
      <c r="R1404" s="59"/>
      <c r="S1404" s="1"/>
      <c r="T1404" s="1"/>
      <c r="U1404" s="1"/>
    </row>
    <row r="1405" spans="1:21" ht="9.75" customHeight="1" x14ac:dyDescent="0.4">
      <c r="A1405" s="1"/>
      <c r="B1405" s="1" t="s">
        <v>395</v>
      </c>
      <c r="C1405" s="34"/>
      <c r="D1405" s="65" t="s">
        <v>314</v>
      </c>
      <c r="E1405" s="65">
        <f t="shared" ref="E1405:O1405" si="231">SUM(E1389:E1404)</f>
        <v>158</v>
      </c>
      <c r="F1405" s="104">
        <f t="shared" si="231"/>
        <v>144</v>
      </c>
      <c r="G1405" s="128">
        <f t="shared" si="231"/>
        <v>38</v>
      </c>
      <c r="H1405" s="128">
        <f t="shared" si="231"/>
        <v>3</v>
      </c>
      <c r="I1405" s="128">
        <f t="shared" si="231"/>
        <v>3</v>
      </c>
      <c r="J1405" s="128">
        <f t="shared" si="231"/>
        <v>3</v>
      </c>
      <c r="K1405" s="128">
        <f t="shared" si="231"/>
        <v>3</v>
      </c>
      <c r="L1405" s="128">
        <f t="shared" si="231"/>
        <v>5</v>
      </c>
      <c r="M1405" s="128">
        <f t="shared" si="231"/>
        <v>2</v>
      </c>
      <c r="N1405" s="128">
        <f t="shared" si="231"/>
        <v>17</v>
      </c>
      <c r="O1405" s="129">
        <f t="shared" si="231"/>
        <v>27</v>
      </c>
      <c r="P1405" s="104">
        <f>MIN(F1405:O1405)</f>
        <v>2</v>
      </c>
      <c r="Q1405" s="128">
        <f>E1405-P1405</f>
        <v>156</v>
      </c>
      <c r="R1405" s="72">
        <f>Q1405/E1405</f>
        <v>0.98734177215189878</v>
      </c>
      <c r="S1405" s="1"/>
      <c r="T1405" s="1"/>
      <c r="U1405" s="1"/>
    </row>
    <row r="1406" spans="1:21" ht="9.75" customHeight="1" x14ac:dyDescent="0.4">
      <c r="A1406" s="1"/>
      <c r="B1406" s="1"/>
      <c r="C1406" s="15" t="s">
        <v>187</v>
      </c>
      <c r="D1406" s="15" t="s">
        <v>300</v>
      </c>
      <c r="E1406" s="15"/>
      <c r="F1406" s="73"/>
      <c r="G1406" s="108"/>
      <c r="H1406" s="108"/>
      <c r="I1406" s="108"/>
      <c r="J1406" s="108"/>
      <c r="K1406" s="108"/>
      <c r="L1406" s="108"/>
      <c r="M1406" s="108"/>
      <c r="N1406" s="108"/>
      <c r="O1406" s="109"/>
      <c r="P1406" s="73"/>
      <c r="Q1406" s="108"/>
      <c r="R1406" s="188"/>
      <c r="S1406" s="1"/>
      <c r="T1406" s="1"/>
      <c r="U1406" s="1"/>
    </row>
    <row r="1407" spans="1:21" ht="9.75" customHeight="1" x14ac:dyDescent="0.4">
      <c r="A1407" s="1"/>
      <c r="B1407" s="1"/>
      <c r="C1407" s="17"/>
      <c r="D1407" s="17" t="s">
        <v>301</v>
      </c>
      <c r="E1407" s="17">
        <v>123</v>
      </c>
      <c r="F1407" s="32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1</v>
      </c>
      <c r="L1407" s="6">
        <v>1</v>
      </c>
      <c r="M1407" s="6">
        <v>10</v>
      </c>
      <c r="N1407" s="6">
        <v>15</v>
      </c>
      <c r="O1407" s="6">
        <v>33</v>
      </c>
      <c r="P1407" s="32">
        <f>MIN(F1407:O1407)</f>
        <v>0</v>
      </c>
      <c r="Q1407" s="6">
        <f>E1407-P1407</f>
        <v>123</v>
      </c>
      <c r="R1407" s="59">
        <f>Q1407/E1407</f>
        <v>1</v>
      </c>
      <c r="S1407" s="1"/>
      <c r="T1407" s="1"/>
      <c r="U1407" s="1"/>
    </row>
    <row r="1408" spans="1:21" ht="9.75" customHeight="1" x14ac:dyDescent="0.4">
      <c r="A1408" s="1"/>
      <c r="B1408" s="1"/>
      <c r="C1408" s="17"/>
      <c r="D1408" s="17" t="s">
        <v>303</v>
      </c>
      <c r="E1408" s="17"/>
      <c r="F1408" s="32"/>
      <c r="G1408" s="6"/>
      <c r="H1408" s="6"/>
      <c r="I1408" s="6"/>
      <c r="J1408" s="6"/>
      <c r="K1408" s="6"/>
      <c r="L1408" s="6"/>
      <c r="M1408" s="6"/>
      <c r="N1408" s="6"/>
      <c r="O1408" s="31"/>
      <c r="P1408" s="32"/>
      <c r="Q1408" s="6"/>
      <c r="R1408" s="59"/>
      <c r="S1408" s="1"/>
      <c r="T1408" s="1"/>
      <c r="U1408" s="1"/>
    </row>
    <row r="1409" spans="1:21" ht="9.75" customHeight="1" x14ac:dyDescent="0.4">
      <c r="A1409" s="1"/>
      <c r="B1409" s="1"/>
      <c r="C1409" s="17"/>
      <c r="D1409" s="17" t="s">
        <v>369</v>
      </c>
      <c r="E1409" s="17"/>
      <c r="F1409" s="32"/>
      <c r="G1409" s="6"/>
      <c r="H1409" s="6"/>
      <c r="I1409" s="6"/>
      <c r="J1409" s="6"/>
      <c r="K1409" s="6"/>
      <c r="L1409" s="6"/>
      <c r="M1409" s="6"/>
      <c r="N1409" s="6"/>
      <c r="O1409" s="31"/>
      <c r="P1409" s="32"/>
      <c r="Q1409" s="6"/>
      <c r="R1409" s="59"/>
      <c r="S1409" s="1"/>
      <c r="T1409" s="1"/>
      <c r="U1409" s="1"/>
    </row>
    <row r="1410" spans="1:21" ht="9.75" customHeight="1" x14ac:dyDescent="0.4">
      <c r="A1410" s="1"/>
      <c r="B1410" s="1"/>
      <c r="C1410" s="17"/>
      <c r="D1410" s="17" t="s">
        <v>369</v>
      </c>
      <c r="E1410" s="17"/>
      <c r="F1410" s="32"/>
      <c r="G1410" s="6"/>
      <c r="H1410" s="6"/>
      <c r="I1410" s="6"/>
      <c r="J1410" s="6"/>
      <c r="K1410" s="6"/>
      <c r="L1410" s="6"/>
      <c r="M1410" s="6"/>
      <c r="N1410" s="6"/>
      <c r="O1410" s="31"/>
      <c r="P1410" s="32"/>
      <c r="Q1410" s="6"/>
      <c r="R1410" s="59"/>
      <c r="S1410" s="1"/>
      <c r="T1410" s="1"/>
      <c r="U1410" s="1"/>
    </row>
    <row r="1411" spans="1:21" ht="9.75" customHeight="1" x14ac:dyDescent="0.4">
      <c r="A1411" s="1"/>
      <c r="B1411" s="1"/>
      <c r="C1411" s="17"/>
      <c r="D1411" s="17" t="s">
        <v>308</v>
      </c>
      <c r="E1411" s="17"/>
      <c r="F1411" s="32"/>
      <c r="G1411" s="6"/>
      <c r="H1411" s="6"/>
      <c r="I1411" s="6"/>
      <c r="J1411" s="6"/>
      <c r="K1411" s="6"/>
      <c r="L1411" s="6"/>
      <c r="M1411" s="6"/>
      <c r="N1411" s="6"/>
      <c r="O1411" s="31"/>
      <c r="P1411" s="32"/>
      <c r="Q1411" s="6"/>
      <c r="R1411" s="59"/>
      <c r="S1411" s="1"/>
      <c r="T1411" s="1"/>
      <c r="U1411" s="1"/>
    </row>
    <row r="1412" spans="1:21" ht="9.75" customHeight="1" x14ac:dyDescent="0.4">
      <c r="A1412" s="1"/>
      <c r="B1412" s="1"/>
      <c r="C1412" s="17"/>
      <c r="D1412" s="17" t="s">
        <v>374</v>
      </c>
      <c r="E1412" s="17"/>
      <c r="F1412" s="32"/>
      <c r="G1412" s="6"/>
      <c r="H1412" s="6"/>
      <c r="I1412" s="6"/>
      <c r="J1412" s="6"/>
      <c r="K1412" s="6"/>
      <c r="L1412" s="6"/>
      <c r="M1412" s="6"/>
      <c r="N1412" s="6"/>
      <c r="O1412" s="31"/>
      <c r="P1412" s="32"/>
      <c r="Q1412" s="6"/>
      <c r="R1412" s="59"/>
      <c r="S1412" s="1"/>
      <c r="T1412" s="1"/>
      <c r="U1412" s="1"/>
    </row>
    <row r="1413" spans="1:21" ht="9.75" customHeight="1" x14ac:dyDescent="0.4">
      <c r="A1413" s="1"/>
      <c r="B1413" s="1"/>
      <c r="C1413" s="17"/>
      <c r="D1413" s="17" t="s">
        <v>374</v>
      </c>
      <c r="E1413" s="17"/>
      <c r="F1413" s="32"/>
      <c r="G1413" s="6"/>
      <c r="H1413" s="6"/>
      <c r="I1413" s="6"/>
      <c r="J1413" s="6"/>
      <c r="K1413" s="6"/>
      <c r="L1413" s="6"/>
      <c r="M1413" s="6"/>
      <c r="N1413" s="6"/>
      <c r="O1413" s="31"/>
      <c r="P1413" s="32"/>
      <c r="Q1413" s="6"/>
      <c r="R1413" s="59"/>
      <c r="S1413" s="1"/>
      <c r="T1413" s="1"/>
      <c r="U1413" s="1"/>
    </row>
    <row r="1414" spans="1:21" ht="9.75" customHeight="1" x14ac:dyDescent="0.4">
      <c r="A1414" s="1"/>
      <c r="B1414" s="1"/>
      <c r="C1414" s="17"/>
      <c r="D1414" s="17" t="s">
        <v>374</v>
      </c>
      <c r="E1414" s="17"/>
      <c r="F1414" s="32"/>
      <c r="G1414" s="6"/>
      <c r="H1414" s="6"/>
      <c r="I1414" s="6"/>
      <c r="J1414" s="6"/>
      <c r="K1414" s="6"/>
      <c r="L1414" s="6"/>
      <c r="M1414" s="6"/>
      <c r="N1414" s="6"/>
      <c r="O1414" s="31"/>
      <c r="P1414" s="32"/>
      <c r="Q1414" s="6"/>
      <c r="R1414" s="59"/>
      <c r="S1414" s="1"/>
      <c r="T1414" s="1"/>
      <c r="U1414" s="1"/>
    </row>
    <row r="1415" spans="1:21" ht="9.75" customHeight="1" x14ac:dyDescent="0.4">
      <c r="A1415" s="1"/>
      <c r="B1415" s="1"/>
      <c r="C1415" s="17"/>
      <c r="D1415" s="17" t="s">
        <v>374</v>
      </c>
      <c r="E1415" s="17"/>
      <c r="F1415" s="32"/>
      <c r="G1415" s="6"/>
      <c r="H1415" s="6"/>
      <c r="I1415" s="6"/>
      <c r="J1415" s="6"/>
      <c r="K1415" s="6"/>
      <c r="L1415" s="6"/>
      <c r="M1415" s="6"/>
      <c r="N1415" s="6"/>
      <c r="O1415" s="31"/>
      <c r="P1415" s="32"/>
      <c r="Q1415" s="6"/>
      <c r="R1415" s="59"/>
      <c r="S1415" s="1"/>
      <c r="T1415" s="1"/>
      <c r="U1415" s="1"/>
    </row>
    <row r="1416" spans="1:21" ht="9.75" customHeight="1" x14ac:dyDescent="0.4">
      <c r="A1416" s="1"/>
      <c r="B1416" s="1"/>
      <c r="C1416" s="17"/>
      <c r="D1416" s="17" t="s">
        <v>374</v>
      </c>
      <c r="E1416" s="17"/>
      <c r="F1416" s="32"/>
      <c r="G1416" s="6"/>
      <c r="H1416" s="6"/>
      <c r="I1416" s="6"/>
      <c r="J1416" s="6"/>
      <c r="K1416" s="6"/>
      <c r="L1416" s="6"/>
      <c r="M1416" s="6"/>
      <c r="N1416" s="6"/>
      <c r="O1416" s="31"/>
      <c r="P1416" s="32"/>
      <c r="Q1416" s="6"/>
      <c r="R1416" s="59"/>
      <c r="S1416" s="1"/>
      <c r="T1416" s="1"/>
      <c r="U1416" s="1"/>
    </row>
    <row r="1417" spans="1:21" ht="9.75" customHeight="1" x14ac:dyDescent="0.4">
      <c r="A1417" s="1"/>
      <c r="B1417" s="1"/>
      <c r="C1417" s="17"/>
      <c r="D1417" s="17" t="s">
        <v>374</v>
      </c>
      <c r="E1417" s="17"/>
      <c r="F1417" s="32"/>
      <c r="G1417" s="6"/>
      <c r="H1417" s="6"/>
      <c r="I1417" s="6"/>
      <c r="J1417" s="6"/>
      <c r="K1417" s="6"/>
      <c r="L1417" s="6"/>
      <c r="M1417" s="6"/>
      <c r="N1417" s="6"/>
      <c r="O1417" s="31"/>
      <c r="P1417" s="32"/>
      <c r="Q1417" s="6"/>
      <c r="R1417" s="59"/>
      <c r="S1417" s="1"/>
      <c r="T1417" s="1"/>
      <c r="U1417" s="1"/>
    </row>
    <row r="1418" spans="1:21" ht="9.75" customHeight="1" x14ac:dyDescent="0.4">
      <c r="A1418" s="1"/>
      <c r="B1418" s="1"/>
      <c r="C1418" s="17"/>
      <c r="D1418" s="17" t="s">
        <v>310</v>
      </c>
      <c r="E1418" s="17"/>
      <c r="F1418" s="32"/>
      <c r="G1418" s="6"/>
      <c r="H1418" s="6"/>
      <c r="I1418" s="6"/>
      <c r="J1418" s="6"/>
      <c r="K1418" s="6"/>
      <c r="L1418" s="6"/>
      <c r="M1418" s="6"/>
      <c r="N1418" s="6"/>
      <c r="O1418" s="31"/>
      <c r="P1418" s="32"/>
      <c r="Q1418" s="6"/>
      <c r="R1418" s="59"/>
      <c r="S1418" s="1"/>
      <c r="T1418" s="1"/>
      <c r="U1418" s="1"/>
    </row>
    <row r="1419" spans="1:21" ht="9.75" customHeight="1" x14ac:dyDescent="0.4">
      <c r="A1419" s="1"/>
      <c r="B1419" s="1"/>
      <c r="C1419" s="17"/>
      <c r="D1419" s="17" t="s">
        <v>311</v>
      </c>
      <c r="E1419" s="17"/>
      <c r="F1419" s="32"/>
      <c r="G1419" s="6"/>
      <c r="H1419" s="6"/>
      <c r="I1419" s="6"/>
      <c r="J1419" s="6"/>
      <c r="K1419" s="6"/>
      <c r="L1419" s="6"/>
      <c r="M1419" s="6"/>
      <c r="N1419" s="6"/>
      <c r="O1419" s="31"/>
      <c r="P1419" s="32"/>
      <c r="Q1419" s="6"/>
      <c r="R1419" s="59"/>
      <c r="S1419" s="1"/>
      <c r="T1419" s="1"/>
      <c r="U1419" s="1"/>
    </row>
    <row r="1420" spans="1:21" ht="9.75" customHeight="1" x14ac:dyDescent="0.4">
      <c r="A1420" s="1"/>
      <c r="B1420" s="1"/>
      <c r="C1420" s="17"/>
      <c r="D1420" s="17" t="s">
        <v>312</v>
      </c>
      <c r="E1420" s="17"/>
      <c r="F1420" s="32"/>
      <c r="G1420" s="6"/>
      <c r="H1420" s="6"/>
      <c r="I1420" s="6"/>
      <c r="J1420" s="6"/>
      <c r="K1420" s="6"/>
      <c r="L1420" s="6"/>
      <c r="M1420" s="6"/>
      <c r="N1420" s="6"/>
      <c r="O1420" s="31"/>
      <c r="P1420" s="32"/>
      <c r="Q1420" s="6"/>
      <c r="R1420" s="59"/>
      <c r="S1420" s="1"/>
      <c r="T1420" s="1"/>
      <c r="U1420" s="1"/>
    </row>
    <row r="1421" spans="1:21" ht="9.75" customHeight="1" x14ac:dyDescent="0.4">
      <c r="A1421" s="1"/>
      <c r="B1421" s="1"/>
      <c r="C1421" s="17"/>
      <c r="D1421" s="17" t="s">
        <v>313</v>
      </c>
      <c r="E1421" s="17"/>
      <c r="F1421" s="32"/>
      <c r="G1421" s="6"/>
      <c r="H1421" s="6"/>
      <c r="I1421" s="6"/>
      <c r="J1421" s="6"/>
      <c r="K1421" s="6"/>
      <c r="L1421" s="6"/>
      <c r="M1421" s="6"/>
      <c r="N1421" s="6"/>
      <c r="O1421" s="31"/>
      <c r="P1421" s="32"/>
      <c r="Q1421" s="6"/>
      <c r="R1421" s="59"/>
      <c r="S1421" s="1"/>
      <c r="T1421" s="1"/>
      <c r="U1421" s="1"/>
    </row>
    <row r="1422" spans="1:21" ht="9.75" customHeight="1" x14ac:dyDescent="0.4">
      <c r="A1422" s="1"/>
      <c r="B1422" s="1" t="s">
        <v>395</v>
      </c>
      <c r="C1422" s="34"/>
      <c r="D1422" s="65" t="s">
        <v>314</v>
      </c>
      <c r="E1422" s="65">
        <f t="shared" ref="E1422:O1422" si="232">SUM(E1406:E1421)</f>
        <v>123</v>
      </c>
      <c r="F1422" s="104">
        <f t="shared" si="232"/>
        <v>0</v>
      </c>
      <c r="G1422" s="128">
        <f t="shared" si="232"/>
        <v>0</v>
      </c>
      <c r="H1422" s="128">
        <f t="shared" si="232"/>
        <v>0</v>
      </c>
      <c r="I1422" s="128">
        <f t="shared" si="232"/>
        <v>0</v>
      </c>
      <c r="J1422" s="128">
        <f t="shared" si="232"/>
        <v>0</v>
      </c>
      <c r="K1422" s="128">
        <f t="shared" si="232"/>
        <v>1</v>
      </c>
      <c r="L1422" s="128">
        <f t="shared" si="232"/>
        <v>1</v>
      </c>
      <c r="M1422" s="128">
        <f t="shared" si="232"/>
        <v>10</v>
      </c>
      <c r="N1422" s="128">
        <f t="shared" si="232"/>
        <v>15</v>
      </c>
      <c r="O1422" s="129">
        <f t="shared" si="232"/>
        <v>33</v>
      </c>
      <c r="P1422" s="104">
        <f>MIN(F1422:O1422)</f>
        <v>0</v>
      </c>
      <c r="Q1422" s="128">
        <f>E1422-P1422</f>
        <v>123</v>
      </c>
      <c r="R1422" s="72">
        <f>Q1422/E1422</f>
        <v>1</v>
      </c>
      <c r="S1422" s="1"/>
      <c r="T1422" s="1"/>
      <c r="U1422" s="1"/>
    </row>
    <row r="1423" spans="1:21" ht="9.75" customHeight="1" x14ac:dyDescent="0.4">
      <c r="A1423" s="1"/>
      <c r="B1423" s="1"/>
      <c r="C1423" s="15" t="s">
        <v>198</v>
      </c>
      <c r="D1423" s="15" t="s">
        <v>300</v>
      </c>
      <c r="E1423" s="15"/>
      <c r="F1423" s="73"/>
      <c r="G1423" s="108"/>
      <c r="H1423" s="108"/>
      <c r="I1423" s="108"/>
      <c r="J1423" s="108"/>
      <c r="K1423" s="108"/>
      <c r="L1423" s="108"/>
      <c r="M1423" s="108"/>
      <c r="N1423" s="108"/>
      <c r="O1423" s="109"/>
      <c r="P1423" s="73"/>
      <c r="Q1423" s="108"/>
      <c r="R1423" s="188"/>
      <c r="S1423" s="1"/>
      <c r="T1423" s="1"/>
      <c r="U1423" s="1"/>
    </row>
    <row r="1424" spans="1:21" ht="9.75" customHeight="1" x14ac:dyDescent="0.4">
      <c r="A1424" s="1"/>
      <c r="B1424" s="1"/>
      <c r="C1424" s="17"/>
      <c r="D1424" s="17" t="s">
        <v>301</v>
      </c>
      <c r="E1424" s="17"/>
      <c r="F1424" s="32"/>
      <c r="G1424" s="6"/>
      <c r="H1424" s="6"/>
      <c r="I1424" s="6"/>
      <c r="J1424" s="6"/>
      <c r="K1424" s="6"/>
      <c r="L1424" s="6"/>
      <c r="M1424" s="6"/>
      <c r="N1424" s="6"/>
      <c r="O1424" s="31"/>
      <c r="P1424" s="32"/>
      <c r="Q1424" s="6"/>
      <c r="R1424" s="59"/>
      <c r="S1424" s="1"/>
      <c r="T1424" s="1"/>
      <c r="U1424" s="1"/>
    </row>
    <row r="1425" spans="1:21" ht="9.75" customHeight="1" x14ac:dyDescent="0.4">
      <c r="A1425" s="1"/>
      <c r="B1425" s="1"/>
      <c r="C1425" s="17"/>
      <c r="D1425" s="17" t="s">
        <v>303</v>
      </c>
      <c r="E1425" s="17"/>
      <c r="F1425" s="32"/>
      <c r="G1425" s="6"/>
      <c r="H1425" s="6"/>
      <c r="I1425" s="6"/>
      <c r="J1425" s="6"/>
      <c r="K1425" s="6"/>
      <c r="L1425" s="6"/>
      <c r="M1425" s="6"/>
      <c r="N1425" s="6"/>
      <c r="O1425" s="31"/>
      <c r="P1425" s="32"/>
      <c r="Q1425" s="6"/>
      <c r="R1425" s="59"/>
      <c r="S1425" s="1"/>
      <c r="T1425" s="1"/>
      <c r="U1425" s="1"/>
    </row>
    <row r="1426" spans="1:21" ht="9.75" customHeight="1" x14ac:dyDescent="0.4">
      <c r="A1426" s="1"/>
      <c r="B1426" s="1"/>
      <c r="C1426" s="17"/>
      <c r="D1426" s="17" t="s">
        <v>369</v>
      </c>
      <c r="E1426" s="17"/>
      <c r="F1426" s="32"/>
      <c r="G1426" s="6"/>
      <c r="H1426" s="6"/>
      <c r="I1426" s="6"/>
      <c r="J1426" s="6"/>
      <c r="K1426" s="6"/>
      <c r="L1426" s="6"/>
      <c r="M1426" s="6"/>
      <c r="N1426" s="6"/>
      <c r="O1426" s="31"/>
      <c r="P1426" s="32"/>
      <c r="Q1426" s="6"/>
      <c r="R1426" s="59"/>
      <c r="S1426" s="1"/>
      <c r="T1426" s="1"/>
      <c r="U1426" s="1"/>
    </row>
    <row r="1427" spans="1:21" ht="9.75" customHeight="1" x14ac:dyDescent="0.4">
      <c r="A1427" s="1"/>
      <c r="B1427" s="1"/>
      <c r="C1427" s="17"/>
      <c r="D1427" s="17" t="s">
        <v>369</v>
      </c>
      <c r="E1427" s="17"/>
      <c r="F1427" s="32"/>
      <c r="G1427" s="6"/>
      <c r="H1427" s="6"/>
      <c r="I1427" s="6"/>
      <c r="J1427" s="6"/>
      <c r="K1427" s="6"/>
      <c r="L1427" s="6"/>
      <c r="M1427" s="6"/>
      <c r="N1427" s="6"/>
      <c r="O1427" s="31"/>
      <c r="P1427" s="32"/>
      <c r="Q1427" s="6"/>
      <c r="R1427" s="59"/>
      <c r="S1427" s="1"/>
      <c r="T1427" s="1"/>
      <c r="U1427" s="1"/>
    </row>
    <row r="1428" spans="1:21" ht="9.75" customHeight="1" x14ac:dyDescent="0.4">
      <c r="A1428" s="1"/>
      <c r="B1428" s="1"/>
      <c r="C1428" s="17"/>
      <c r="D1428" s="17" t="s">
        <v>308</v>
      </c>
      <c r="E1428" s="17"/>
      <c r="F1428" s="32"/>
      <c r="G1428" s="6"/>
      <c r="H1428" s="6"/>
      <c r="I1428" s="6"/>
      <c r="J1428" s="6"/>
      <c r="K1428" s="6"/>
      <c r="L1428" s="6"/>
      <c r="M1428" s="6"/>
      <c r="N1428" s="6"/>
      <c r="O1428" s="31"/>
      <c r="P1428" s="32"/>
      <c r="Q1428" s="6"/>
      <c r="R1428" s="59"/>
      <c r="S1428" s="1"/>
      <c r="T1428" s="1"/>
      <c r="U1428" s="1"/>
    </row>
    <row r="1429" spans="1:21" ht="9.75" customHeight="1" x14ac:dyDescent="0.4">
      <c r="A1429" s="1"/>
      <c r="B1429" s="1"/>
      <c r="C1429" s="17"/>
      <c r="D1429" s="17" t="s">
        <v>374</v>
      </c>
      <c r="E1429" s="17"/>
      <c r="F1429" s="32"/>
      <c r="G1429" s="6"/>
      <c r="H1429" s="6"/>
      <c r="I1429" s="6"/>
      <c r="J1429" s="6"/>
      <c r="K1429" s="6"/>
      <c r="L1429" s="6"/>
      <c r="M1429" s="6"/>
      <c r="N1429" s="6"/>
      <c r="O1429" s="31"/>
      <c r="P1429" s="32"/>
      <c r="Q1429" s="6"/>
      <c r="R1429" s="59"/>
      <c r="S1429" s="1"/>
      <c r="T1429" s="1"/>
      <c r="U1429" s="1"/>
    </row>
    <row r="1430" spans="1:21" ht="9.75" customHeight="1" x14ac:dyDescent="0.4">
      <c r="A1430" s="1"/>
      <c r="B1430" s="1"/>
      <c r="C1430" s="17"/>
      <c r="D1430" s="17" t="s">
        <v>374</v>
      </c>
      <c r="E1430" s="17"/>
      <c r="F1430" s="32"/>
      <c r="G1430" s="6"/>
      <c r="H1430" s="6"/>
      <c r="I1430" s="6"/>
      <c r="J1430" s="6"/>
      <c r="K1430" s="6"/>
      <c r="L1430" s="6"/>
      <c r="M1430" s="6"/>
      <c r="N1430" s="6"/>
      <c r="O1430" s="31"/>
      <c r="P1430" s="32"/>
      <c r="Q1430" s="6"/>
      <c r="R1430" s="59"/>
      <c r="S1430" s="1"/>
      <c r="T1430" s="1"/>
      <c r="U1430" s="1"/>
    </row>
    <row r="1431" spans="1:21" ht="9.75" customHeight="1" x14ac:dyDescent="0.4">
      <c r="A1431" s="1"/>
      <c r="B1431" s="1"/>
      <c r="C1431" s="17"/>
      <c r="D1431" s="17" t="s">
        <v>374</v>
      </c>
      <c r="E1431" s="17"/>
      <c r="F1431" s="32"/>
      <c r="G1431" s="6"/>
      <c r="H1431" s="6"/>
      <c r="I1431" s="6"/>
      <c r="J1431" s="6"/>
      <c r="K1431" s="6"/>
      <c r="L1431" s="6"/>
      <c r="M1431" s="6"/>
      <c r="N1431" s="6"/>
      <c r="O1431" s="31"/>
      <c r="P1431" s="32"/>
      <c r="Q1431" s="6"/>
      <c r="R1431" s="59"/>
      <c r="S1431" s="1"/>
      <c r="T1431" s="1"/>
      <c r="U1431" s="1"/>
    </row>
    <row r="1432" spans="1:21" ht="9.75" customHeight="1" x14ac:dyDescent="0.4">
      <c r="A1432" s="1"/>
      <c r="B1432" s="1"/>
      <c r="C1432" s="17"/>
      <c r="D1432" s="17" t="s">
        <v>374</v>
      </c>
      <c r="E1432" s="17"/>
      <c r="F1432" s="32"/>
      <c r="G1432" s="6"/>
      <c r="H1432" s="6"/>
      <c r="I1432" s="6"/>
      <c r="J1432" s="6"/>
      <c r="K1432" s="6"/>
      <c r="L1432" s="6"/>
      <c r="M1432" s="6"/>
      <c r="N1432" s="6"/>
      <c r="O1432" s="31"/>
      <c r="P1432" s="32"/>
      <c r="Q1432" s="6"/>
      <c r="R1432" s="59"/>
      <c r="S1432" s="1"/>
      <c r="T1432" s="1"/>
      <c r="U1432" s="1"/>
    </row>
    <row r="1433" spans="1:21" ht="9.75" customHeight="1" x14ac:dyDescent="0.4">
      <c r="A1433" s="1"/>
      <c r="B1433" s="1"/>
      <c r="C1433" s="17"/>
      <c r="D1433" s="17" t="s">
        <v>374</v>
      </c>
      <c r="E1433" s="17"/>
      <c r="F1433" s="32"/>
      <c r="G1433" s="6"/>
      <c r="H1433" s="6"/>
      <c r="I1433" s="6"/>
      <c r="J1433" s="6"/>
      <c r="K1433" s="6"/>
      <c r="L1433" s="6"/>
      <c r="M1433" s="6"/>
      <c r="N1433" s="6"/>
      <c r="O1433" s="31"/>
      <c r="P1433" s="32"/>
      <c r="Q1433" s="6"/>
      <c r="R1433" s="59"/>
      <c r="S1433" s="1"/>
      <c r="T1433" s="1"/>
      <c r="U1433" s="1"/>
    </row>
    <row r="1434" spans="1:21" ht="9.75" customHeight="1" x14ac:dyDescent="0.4">
      <c r="A1434" s="1"/>
      <c r="B1434" s="1"/>
      <c r="C1434" s="17"/>
      <c r="D1434" s="17" t="s">
        <v>374</v>
      </c>
      <c r="E1434" s="17"/>
      <c r="F1434" s="32"/>
      <c r="G1434" s="6"/>
      <c r="H1434" s="6"/>
      <c r="I1434" s="6"/>
      <c r="J1434" s="6"/>
      <c r="K1434" s="6"/>
      <c r="L1434" s="6"/>
      <c r="M1434" s="6"/>
      <c r="N1434" s="6"/>
      <c r="O1434" s="31"/>
      <c r="P1434" s="32"/>
      <c r="Q1434" s="6"/>
      <c r="R1434" s="59"/>
      <c r="S1434" s="1"/>
      <c r="T1434" s="1"/>
      <c r="U1434" s="1"/>
    </row>
    <row r="1435" spans="1:21" ht="9.75" customHeight="1" x14ac:dyDescent="0.4">
      <c r="A1435" s="1"/>
      <c r="B1435" s="1"/>
      <c r="C1435" s="17"/>
      <c r="D1435" s="17" t="s">
        <v>310</v>
      </c>
      <c r="E1435" s="17">
        <v>5</v>
      </c>
      <c r="F1435" s="32">
        <v>5</v>
      </c>
      <c r="G1435" s="6">
        <v>5</v>
      </c>
      <c r="H1435" s="6">
        <v>5</v>
      </c>
      <c r="I1435" s="6">
        <v>5</v>
      </c>
      <c r="J1435" s="6">
        <v>5</v>
      </c>
      <c r="K1435" s="6">
        <v>5</v>
      </c>
      <c r="L1435" s="6">
        <v>5</v>
      </c>
      <c r="M1435" s="6">
        <v>4</v>
      </c>
      <c r="N1435" s="6">
        <v>5</v>
      </c>
      <c r="O1435" s="31">
        <v>5</v>
      </c>
      <c r="P1435" s="32">
        <f>MIN(F1435:O1435)</f>
        <v>4</v>
      </c>
      <c r="Q1435" s="6">
        <f>E1435-P1435</f>
        <v>1</v>
      </c>
      <c r="R1435" s="59">
        <f>Q1435/E1435</f>
        <v>0.2</v>
      </c>
      <c r="S1435" s="1"/>
      <c r="T1435" s="1"/>
      <c r="U1435" s="1"/>
    </row>
    <row r="1436" spans="1:21" ht="9.75" customHeight="1" x14ac:dyDescent="0.4">
      <c r="A1436" s="1"/>
      <c r="B1436" s="1"/>
      <c r="C1436" s="17"/>
      <c r="D1436" s="17" t="s">
        <v>311</v>
      </c>
      <c r="E1436" s="17"/>
      <c r="F1436" s="32"/>
      <c r="G1436" s="6"/>
      <c r="H1436" s="6"/>
      <c r="I1436" s="6"/>
      <c r="J1436" s="6"/>
      <c r="K1436" s="6"/>
      <c r="L1436" s="6"/>
      <c r="M1436" s="6"/>
      <c r="N1436" s="6"/>
      <c r="O1436" s="31"/>
      <c r="P1436" s="32"/>
      <c r="Q1436" s="6"/>
      <c r="R1436" s="59"/>
      <c r="S1436" s="1"/>
      <c r="T1436" s="1"/>
      <c r="U1436" s="1"/>
    </row>
    <row r="1437" spans="1:21" ht="9.75" customHeight="1" x14ac:dyDescent="0.4">
      <c r="A1437" s="1"/>
      <c r="B1437" s="1"/>
      <c r="C1437" s="17"/>
      <c r="D1437" s="17" t="s">
        <v>312</v>
      </c>
      <c r="E1437" s="17">
        <v>4</v>
      </c>
      <c r="F1437" s="32">
        <v>0</v>
      </c>
      <c r="G1437" s="6">
        <v>1</v>
      </c>
      <c r="H1437" s="6">
        <v>1</v>
      </c>
      <c r="I1437" s="6">
        <v>0</v>
      </c>
      <c r="J1437" s="6">
        <v>0</v>
      </c>
      <c r="K1437" s="6">
        <v>0</v>
      </c>
      <c r="L1437" s="6">
        <v>1</v>
      </c>
      <c r="M1437" s="6">
        <v>1</v>
      </c>
      <c r="N1437" s="6">
        <v>0</v>
      </c>
      <c r="O1437" s="31">
        <v>2</v>
      </c>
      <c r="P1437" s="32">
        <f>MIN(F1437:O1437)</f>
        <v>0</v>
      </c>
      <c r="Q1437" s="6">
        <f>E1437-P1437</f>
        <v>4</v>
      </c>
      <c r="R1437" s="59">
        <f>Q1437/E1437</f>
        <v>1</v>
      </c>
      <c r="S1437" s="1"/>
      <c r="T1437" s="1"/>
      <c r="U1437" s="1"/>
    </row>
    <row r="1438" spans="1:21" ht="9.75" customHeight="1" x14ac:dyDescent="0.4">
      <c r="A1438" s="1"/>
      <c r="B1438" s="1"/>
      <c r="C1438" s="17"/>
      <c r="D1438" s="17" t="s">
        <v>313</v>
      </c>
      <c r="E1438" s="17"/>
      <c r="F1438" s="32"/>
      <c r="G1438" s="6"/>
      <c r="H1438" s="6"/>
      <c r="I1438" s="6"/>
      <c r="J1438" s="6"/>
      <c r="K1438" s="6"/>
      <c r="L1438" s="6"/>
      <c r="M1438" s="6"/>
      <c r="N1438" s="6"/>
      <c r="O1438" s="31"/>
      <c r="P1438" s="32"/>
      <c r="Q1438" s="6"/>
      <c r="R1438" s="59"/>
      <c r="S1438" s="1"/>
      <c r="T1438" s="1"/>
      <c r="U1438" s="1"/>
    </row>
    <row r="1439" spans="1:21" ht="9.75" customHeight="1" x14ac:dyDescent="0.4">
      <c r="A1439" s="1"/>
      <c r="B1439" s="1"/>
      <c r="C1439" s="34"/>
      <c r="D1439" s="65" t="s">
        <v>314</v>
      </c>
      <c r="E1439" s="65">
        <f t="shared" ref="E1439:O1439" si="233">SUM(E1423:E1438)</f>
        <v>9</v>
      </c>
      <c r="F1439" s="104">
        <f t="shared" si="233"/>
        <v>5</v>
      </c>
      <c r="G1439" s="128">
        <f t="shared" si="233"/>
        <v>6</v>
      </c>
      <c r="H1439" s="128">
        <f t="shared" si="233"/>
        <v>6</v>
      </c>
      <c r="I1439" s="128">
        <f t="shared" si="233"/>
        <v>5</v>
      </c>
      <c r="J1439" s="128">
        <f t="shared" si="233"/>
        <v>5</v>
      </c>
      <c r="K1439" s="128">
        <f t="shared" si="233"/>
        <v>5</v>
      </c>
      <c r="L1439" s="128">
        <f t="shared" si="233"/>
        <v>6</v>
      </c>
      <c r="M1439" s="128">
        <f t="shared" si="233"/>
        <v>5</v>
      </c>
      <c r="N1439" s="128">
        <f t="shared" si="233"/>
        <v>5</v>
      </c>
      <c r="O1439" s="129">
        <f t="shared" si="233"/>
        <v>7</v>
      </c>
      <c r="P1439" s="104">
        <f>MIN(F1439:O1439)</f>
        <v>5</v>
      </c>
      <c r="Q1439" s="128">
        <f>E1439-P1439</f>
        <v>4</v>
      </c>
      <c r="R1439" s="72">
        <f>Q1439/E1439</f>
        <v>0.44444444444444442</v>
      </c>
      <c r="S1439" s="1"/>
      <c r="T1439" s="1"/>
      <c r="U1439" s="1"/>
    </row>
    <row r="1440" spans="1:21" ht="9.75" customHeight="1" x14ac:dyDescent="0.4">
      <c r="A1440" s="1"/>
      <c r="B1440" s="1"/>
      <c r="C1440" s="19" t="s">
        <v>78</v>
      </c>
      <c r="D1440" s="19" t="s">
        <v>300</v>
      </c>
      <c r="E1440" s="19"/>
      <c r="F1440" s="133"/>
      <c r="G1440" s="222"/>
      <c r="H1440" s="222"/>
      <c r="I1440" s="222"/>
      <c r="J1440" s="222"/>
      <c r="K1440" s="222"/>
      <c r="L1440" s="222"/>
      <c r="M1440" s="222"/>
      <c r="N1440" s="222"/>
      <c r="O1440" s="223"/>
      <c r="P1440" s="133"/>
      <c r="Q1440" s="222"/>
      <c r="R1440" s="224"/>
      <c r="S1440" s="1"/>
      <c r="T1440" s="1"/>
      <c r="U1440" s="1"/>
    </row>
    <row r="1441" spans="1:21" ht="9.75" customHeight="1" x14ac:dyDescent="0.4">
      <c r="A1441" s="1"/>
      <c r="B1441" s="1"/>
      <c r="C1441" s="24" t="s">
        <v>330</v>
      </c>
      <c r="D1441" s="24" t="s">
        <v>301</v>
      </c>
      <c r="E1441" s="24"/>
      <c r="F1441" s="134"/>
      <c r="G1441" s="135"/>
      <c r="H1441" s="135"/>
      <c r="I1441" s="135"/>
      <c r="J1441" s="135"/>
      <c r="K1441" s="135"/>
      <c r="L1441" s="135"/>
      <c r="M1441" s="135"/>
      <c r="N1441" s="135"/>
      <c r="O1441" s="136"/>
      <c r="P1441" s="134"/>
      <c r="Q1441" s="135"/>
      <c r="R1441" s="137"/>
      <c r="S1441" s="1"/>
      <c r="T1441" s="1"/>
      <c r="U1441" s="1"/>
    </row>
    <row r="1442" spans="1:21" ht="9.75" customHeight="1" x14ac:dyDescent="0.4">
      <c r="A1442" s="1"/>
      <c r="B1442" s="1"/>
      <c r="C1442" s="24" t="s">
        <v>403</v>
      </c>
      <c r="D1442" s="24" t="s">
        <v>303</v>
      </c>
      <c r="E1442" s="24"/>
      <c r="F1442" s="134"/>
      <c r="G1442" s="135"/>
      <c r="H1442" s="135"/>
      <c r="I1442" s="135"/>
      <c r="J1442" s="135"/>
      <c r="K1442" s="135"/>
      <c r="L1442" s="135"/>
      <c r="M1442" s="135"/>
      <c r="N1442" s="135"/>
      <c r="O1442" s="136"/>
      <c r="P1442" s="134"/>
      <c r="Q1442" s="135"/>
      <c r="R1442" s="137"/>
      <c r="S1442" s="1"/>
      <c r="T1442" s="1"/>
      <c r="U1442" s="1"/>
    </row>
    <row r="1443" spans="1:21" ht="9.75" customHeight="1" x14ac:dyDescent="0.4">
      <c r="A1443" s="1"/>
      <c r="B1443" s="1"/>
      <c r="C1443" s="24" t="s">
        <v>332</v>
      </c>
      <c r="D1443" s="24" t="s">
        <v>421</v>
      </c>
      <c r="E1443" s="24"/>
      <c r="F1443" s="134"/>
      <c r="G1443" s="135"/>
      <c r="H1443" s="135"/>
      <c r="I1443" s="135"/>
      <c r="J1443" s="135"/>
      <c r="K1443" s="135"/>
      <c r="L1443" s="135"/>
      <c r="M1443" s="135"/>
      <c r="N1443" s="135"/>
      <c r="O1443" s="136"/>
      <c r="P1443" s="134"/>
      <c r="Q1443" s="135"/>
      <c r="R1443" s="137"/>
      <c r="S1443" s="1"/>
      <c r="T1443" s="1"/>
      <c r="U1443" s="1"/>
    </row>
    <row r="1444" spans="1:21" ht="9.75" customHeight="1" x14ac:dyDescent="0.4">
      <c r="A1444" s="1"/>
      <c r="B1444" s="1"/>
      <c r="C1444" s="24"/>
      <c r="D1444" s="24" t="s">
        <v>369</v>
      </c>
      <c r="E1444" s="24"/>
      <c r="F1444" s="134"/>
      <c r="G1444" s="135"/>
      <c r="H1444" s="135"/>
      <c r="I1444" s="135"/>
      <c r="J1444" s="135"/>
      <c r="K1444" s="135"/>
      <c r="L1444" s="135"/>
      <c r="M1444" s="135"/>
      <c r="N1444" s="135"/>
      <c r="O1444" s="136"/>
      <c r="P1444" s="134"/>
      <c r="Q1444" s="135"/>
      <c r="R1444" s="137"/>
      <c r="S1444" s="1"/>
      <c r="T1444" s="1"/>
      <c r="U1444" s="1"/>
    </row>
    <row r="1445" spans="1:21" ht="9.75" customHeight="1" x14ac:dyDescent="0.4">
      <c r="A1445" s="1"/>
      <c r="B1445" s="1"/>
      <c r="C1445" s="24"/>
      <c r="D1445" s="24" t="s">
        <v>308</v>
      </c>
      <c r="E1445" s="24"/>
      <c r="F1445" s="134"/>
      <c r="G1445" s="135"/>
      <c r="H1445" s="135"/>
      <c r="I1445" s="135"/>
      <c r="J1445" s="135"/>
      <c r="K1445" s="135"/>
      <c r="L1445" s="135"/>
      <c r="M1445" s="135"/>
      <c r="N1445" s="135"/>
      <c r="O1445" s="136"/>
      <c r="P1445" s="134"/>
      <c r="Q1445" s="135"/>
      <c r="R1445" s="137"/>
      <c r="S1445" s="1"/>
      <c r="T1445" s="1"/>
      <c r="U1445" s="1"/>
    </row>
    <row r="1446" spans="1:21" ht="9.75" customHeight="1" x14ac:dyDescent="0.4">
      <c r="A1446" s="1"/>
      <c r="B1446" s="1"/>
      <c r="C1446" s="24"/>
      <c r="D1446" s="24" t="s">
        <v>374</v>
      </c>
      <c r="E1446" s="24"/>
      <c r="F1446" s="134"/>
      <c r="G1446" s="135"/>
      <c r="H1446" s="135"/>
      <c r="I1446" s="135"/>
      <c r="J1446" s="135"/>
      <c r="K1446" s="135"/>
      <c r="L1446" s="135"/>
      <c r="M1446" s="135"/>
      <c r="N1446" s="135"/>
      <c r="O1446" s="136"/>
      <c r="P1446" s="134"/>
      <c r="Q1446" s="135"/>
      <c r="R1446" s="137"/>
      <c r="S1446" s="1"/>
      <c r="T1446" s="1"/>
      <c r="U1446" s="1"/>
    </row>
    <row r="1447" spans="1:21" ht="9.75" customHeight="1" x14ac:dyDescent="0.4">
      <c r="A1447" s="1"/>
      <c r="B1447" s="1"/>
      <c r="C1447" s="24"/>
      <c r="D1447" s="24" t="s">
        <v>374</v>
      </c>
      <c r="E1447" s="24"/>
      <c r="F1447" s="134"/>
      <c r="G1447" s="135"/>
      <c r="H1447" s="135"/>
      <c r="I1447" s="135"/>
      <c r="J1447" s="135"/>
      <c r="K1447" s="135"/>
      <c r="L1447" s="135"/>
      <c r="M1447" s="135"/>
      <c r="N1447" s="135"/>
      <c r="O1447" s="136"/>
      <c r="P1447" s="134"/>
      <c r="Q1447" s="135"/>
      <c r="R1447" s="137"/>
      <c r="S1447" s="1"/>
      <c r="T1447" s="1"/>
      <c r="U1447" s="1"/>
    </row>
    <row r="1448" spans="1:21" ht="9.75" customHeight="1" x14ac:dyDescent="0.4">
      <c r="A1448" s="1"/>
      <c r="B1448" s="1"/>
      <c r="C1448" s="24"/>
      <c r="D1448" s="24" t="s">
        <v>374</v>
      </c>
      <c r="E1448" s="24"/>
      <c r="F1448" s="134"/>
      <c r="G1448" s="135"/>
      <c r="H1448" s="135"/>
      <c r="I1448" s="135"/>
      <c r="J1448" s="135"/>
      <c r="K1448" s="135"/>
      <c r="L1448" s="135"/>
      <c r="M1448" s="135"/>
      <c r="N1448" s="135"/>
      <c r="O1448" s="136"/>
      <c r="P1448" s="134"/>
      <c r="Q1448" s="135"/>
      <c r="R1448" s="137"/>
      <c r="S1448" s="1"/>
      <c r="T1448" s="1"/>
      <c r="U1448" s="1"/>
    </row>
    <row r="1449" spans="1:21" ht="9.75" customHeight="1" x14ac:dyDescent="0.4">
      <c r="A1449" s="1"/>
      <c r="B1449" s="1"/>
      <c r="C1449" s="24"/>
      <c r="D1449" s="24" t="s">
        <v>374</v>
      </c>
      <c r="E1449" s="24"/>
      <c r="F1449" s="134"/>
      <c r="G1449" s="135"/>
      <c r="H1449" s="135"/>
      <c r="I1449" s="135"/>
      <c r="J1449" s="135"/>
      <c r="K1449" s="135"/>
      <c r="L1449" s="135"/>
      <c r="M1449" s="135"/>
      <c r="N1449" s="135"/>
      <c r="O1449" s="136"/>
      <c r="P1449" s="134"/>
      <c r="Q1449" s="135"/>
      <c r="R1449" s="137"/>
      <c r="S1449" s="1"/>
      <c r="T1449" s="1"/>
      <c r="U1449" s="1"/>
    </row>
    <row r="1450" spans="1:21" ht="9.75" customHeight="1" x14ac:dyDescent="0.4">
      <c r="A1450" s="1"/>
      <c r="B1450" s="1"/>
      <c r="C1450" s="24"/>
      <c r="D1450" s="24" t="s">
        <v>374</v>
      </c>
      <c r="E1450" s="24"/>
      <c r="F1450" s="134"/>
      <c r="G1450" s="135"/>
      <c r="H1450" s="135"/>
      <c r="I1450" s="135"/>
      <c r="J1450" s="135"/>
      <c r="K1450" s="135"/>
      <c r="L1450" s="135"/>
      <c r="M1450" s="135"/>
      <c r="N1450" s="135"/>
      <c r="O1450" s="136"/>
      <c r="P1450" s="134"/>
      <c r="Q1450" s="135"/>
      <c r="R1450" s="137"/>
      <c r="S1450" s="1"/>
      <c r="T1450" s="1"/>
      <c r="U1450" s="1"/>
    </row>
    <row r="1451" spans="1:21" ht="9.75" customHeight="1" x14ac:dyDescent="0.4">
      <c r="A1451" s="1"/>
      <c r="B1451" s="1"/>
      <c r="C1451" s="24"/>
      <c r="D1451" s="24" t="s">
        <v>374</v>
      </c>
      <c r="E1451" s="24"/>
      <c r="F1451" s="134"/>
      <c r="G1451" s="135"/>
      <c r="H1451" s="135"/>
      <c r="I1451" s="135"/>
      <c r="J1451" s="135"/>
      <c r="K1451" s="135"/>
      <c r="L1451" s="135"/>
      <c r="M1451" s="135"/>
      <c r="N1451" s="135"/>
      <c r="O1451" s="136"/>
      <c r="P1451" s="134"/>
      <c r="Q1451" s="135"/>
      <c r="R1451" s="137"/>
      <c r="S1451" s="1"/>
      <c r="T1451" s="1"/>
      <c r="U1451" s="1"/>
    </row>
    <row r="1452" spans="1:21" ht="9.75" customHeight="1" x14ac:dyDescent="0.4">
      <c r="A1452" s="1"/>
      <c r="B1452" s="1"/>
      <c r="C1452" s="24"/>
      <c r="D1452" s="24" t="s">
        <v>310</v>
      </c>
      <c r="E1452" s="24"/>
      <c r="F1452" s="134"/>
      <c r="G1452" s="135"/>
      <c r="H1452" s="135"/>
      <c r="I1452" s="135"/>
      <c r="J1452" s="135"/>
      <c r="K1452" s="135"/>
      <c r="L1452" s="135"/>
      <c r="M1452" s="135"/>
      <c r="N1452" s="135"/>
      <c r="O1452" s="136"/>
      <c r="P1452" s="134"/>
      <c r="Q1452" s="135"/>
      <c r="R1452" s="137"/>
      <c r="S1452" s="1"/>
      <c r="T1452" s="1"/>
      <c r="U1452" s="1"/>
    </row>
    <row r="1453" spans="1:21" ht="9.75" customHeight="1" x14ac:dyDescent="0.4">
      <c r="A1453" s="1"/>
      <c r="B1453" s="1"/>
      <c r="C1453" s="24"/>
      <c r="D1453" s="24" t="s">
        <v>311</v>
      </c>
      <c r="E1453" s="24"/>
      <c r="F1453" s="134"/>
      <c r="G1453" s="135"/>
      <c r="H1453" s="135"/>
      <c r="I1453" s="135"/>
      <c r="J1453" s="135"/>
      <c r="K1453" s="135"/>
      <c r="L1453" s="135"/>
      <c r="M1453" s="135"/>
      <c r="N1453" s="135"/>
      <c r="O1453" s="136"/>
      <c r="P1453" s="134"/>
      <c r="Q1453" s="135"/>
      <c r="R1453" s="137"/>
      <c r="S1453" s="1"/>
      <c r="T1453" s="1"/>
      <c r="U1453" s="1"/>
    </row>
    <row r="1454" spans="1:21" ht="9.75" customHeight="1" x14ac:dyDescent="0.4">
      <c r="A1454" s="1"/>
      <c r="B1454" s="1"/>
      <c r="C1454" s="24"/>
      <c r="D1454" s="24" t="s">
        <v>312</v>
      </c>
      <c r="E1454" s="24"/>
      <c r="F1454" s="134"/>
      <c r="G1454" s="135"/>
      <c r="H1454" s="135"/>
      <c r="I1454" s="135"/>
      <c r="J1454" s="135"/>
      <c r="K1454" s="135"/>
      <c r="L1454" s="135"/>
      <c r="M1454" s="135"/>
      <c r="N1454" s="135"/>
      <c r="O1454" s="136"/>
      <c r="P1454" s="134"/>
      <c r="Q1454" s="135"/>
      <c r="R1454" s="137"/>
      <c r="S1454" s="1"/>
      <c r="T1454" s="1"/>
      <c r="U1454" s="1"/>
    </row>
    <row r="1455" spans="1:21" ht="9.75" customHeight="1" x14ac:dyDescent="0.4">
      <c r="A1455" s="1"/>
      <c r="B1455" s="1"/>
      <c r="C1455" s="24"/>
      <c r="D1455" s="24" t="s">
        <v>313</v>
      </c>
      <c r="E1455" s="24"/>
      <c r="F1455" s="134"/>
      <c r="G1455" s="135"/>
      <c r="H1455" s="135"/>
      <c r="I1455" s="135"/>
      <c r="J1455" s="135"/>
      <c r="K1455" s="135"/>
      <c r="L1455" s="135"/>
      <c r="M1455" s="135"/>
      <c r="N1455" s="135"/>
      <c r="O1455" s="136"/>
      <c r="P1455" s="134"/>
      <c r="Q1455" s="135"/>
      <c r="R1455" s="137"/>
      <c r="S1455" s="1"/>
      <c r="T1455" s="1"/>
      <c r="U1455" s="1"/>
    </row>
    <row r="1456" spans="1:21" ht="9.75" customHeight="1" x14ac:dyDescent="0.4">
      <c r="A1456" s="1"/>
      <c r="B1456" s="1"/>
      <c r="C1456" s="229"/>
      <c r="D1456" s="141" t="s">
        <v>314</v>
      </c>
      <c r="E1456" s="141"/>
      <c r="F1456" s="142"/>
      <c r="G1456" s="143"/>
      <c r="H1456" s="143"/>
      <c r="I1456" s="143"/>
      <c r="J1456" s="143"/>
      <c r="K1456" s="143"/>
      <c r="L1456" s="143"/>
      <c r="M1456" s="143"/>
      <c r="N1456" s="143"/>
      <c r="O1456" s="144"/>
      <c r="P1456" s="142"/>
      <c r="Q1456" s="143"/>
      <c r="R1456" s="145"/>
      <c r="S1456" s="1"/>
      <c r="T1456" s="1"/>
      <c r="U1456" s="1"/>
    </row>
    <row r="1457" spans="1:21" ht="9.75" customHeight="1" x14ac:dyDescent="0.4">
      <c r="A1457" s="1"/>
      <c r="B1457" s="1"/>
      <c r="C1457" s="15" t="s">
        <v>98</v>
      </c>
      <c r="D1457" s="15" t="s">
        <v>458</v>
      </c>
      <c r="E1457" s="15">
        <v>8</v>
      </c>
      <c r="F1457" s="73">
        <v>2</v>
      </c>
      <c r="G1457" s="108">
        <v>0</v>
      </c>
      <c r="H1457" s="108">
        <v>3</v>
      </c>
      <c r="I1457" s="108">
        <v>1</v>
      </c>
      <c r="J1457" s="108">
        <v>0</v>
      </c>
      <c r="K1457" s="108">
        <v>2</v>
      </c>
      <c r="L1457" s="108">
        <v>4</v>
      </c>
      <c r="M1457" s="108">
        <v>3</v>
      </c>
      <c r="N1457" s="108">
        <v>6</v>
      </c>
      <c r="O1457" s="109">
        <v>7</v>
      </c>
      <c r="P1457" s="73">
        <f t="shared" ref="P1457:P1458" si="234">MIN(F1457:O1457)</f>
        <v>0</v>
      </c>
      <c r="Q1457" s="108">
        <f t="shared" ref="Q1457:Q1458" si="235">E1457-P1457</f>
        <v>8</v>
      </c>
      <c r="R1457" s="188">
        <f t="shared" ref="R1457:R1458" si="236">Q1457/E1457</f>
        <v>1</v>
      </c>
      <c r="S1457" s="1"/>
      <c r="T1457" s="1"/>
      <c r="U1457" s="1"/>
    </row>
    <row r="1458" spans="1:21" ht="9.75" customHeight="1" x14ac:dyDescent="0.4">
      <c r="A1458" s="1"/>
      <c r="B1458" s="1"/>
      <c r="C1458" s="17"/>
      <c r="D1458" s="17" t="s">
        <v>459</v>
      </c>
      <c r="E1458" s="17">
        <v>2</v>
      </c>
      <c r="F1458" s="32">
        <v>0</v>
      </c>
      <c r="G1458" s="6">
        <v>1</v>
      </c>
      <c r="H1458" s="6">
        <v>0</v>
      </c>
      <c r="I1458" s="6">
        <v>0</v>
      </c>
      <c r="J1458" s="6">
        <v>1</v>
      </c>
      <c r="K1458" s="6">
        <v>0</v>
      </c>
      <c r="L1458" s="6">
        <v>2</v>
      </c>
      <c r="M1458" s="6">
        <v>0</v>
      </c>
      <c r="N1458" s="6">
        <v>2</v>
      </c>
      <c r="O1458" s="31">
        <v>2</v>
      </c>
      <c r="P1458" s="32">
        <f t="shared" si="234"/>
        <v>0</v>
      </c>
      <c r="Q1458" s="6">
        <f t="shared" si="235"/>
        <v>2</v>
      </c>
      <c r="R1458" s="59">
        <f t="shared" si="236"/>
        <v>1</v>
      </c>
      <c r="S1458" s="1"/>
      <c r="T1458" s="1"/>
      <c r="U1458" s="1"/>
    </row>
    <row r="1459" spans="1:21" ht="9.75" customHeight="1" x14ac:dyDescent="0.4">
      <c r="A1459" s="1"/>
      <c r="B1459" s="1"/>
      <c r="C1459" s="17"/>
      <c r="D1459" s="17" t="s">
        <v>303</v>
      </c>
      <c r="E1459" s="17"/>
      <c r="F1459" s="32"/>
      <c r="G1459" s="6"/>
      <c r="H1459" s="6"/>
      <c r="I1459" s="6"/>
      <c r="J1459" s="6"/>
      <c r="K1459" s="6"/>
      <c r="L1459" s="6"/>
      <c r="M1459" s="6"/>
      <c r="N1459" s="6"/>
      <c r="O1459" s="31"/>
      <c r="P1459" s="32"/>
      <c r="Q1459" s="6"/>
      <c r="R1459" s="59"/>
      <c r="S1459" s="1"/>
      <c r="T1459" s="1"/>
      <c r="U1459" s="1"/>
    </row>
    <row r="1460" spans="1:21" ht="9.75" customHeight="1" x14ac:dyDescent="0.4">
      <c r="A1460" s="1"/>
      <c r="B1460" s="1"/>
      <c r="C1460" s="17"/>
      <c r="D1460" s="17" t="s">
        <v>434</v>
      </c>
      <c r="E1460" s="17">
        <v>10</v>
      </c>
      <c r="F1460" s="32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</v>
      </c>
      <c r="M1460" s="6">
        <v>1</v>
      </c>
      <c r="N1460" s="6">
        <v>0</v>
      </c>
      <c r="O1460" s="31">
        <v>2</v>
      </c>
      <c r="P1460" s="32">
        <f>MIN(F1460:O1460)</f>
        <v>0</v>
      </c>
      <c r="Q1460" s="6">
        <f>E1460-P1460</f>
        <v>10</v>
      </c>
      <c r="R1460" s="59">
        <f>Q1460/E1460</f>
        <v>1</v>
      </c>
      <c r="S1460" s="1"/>
      <c r="T1460" s="1"/>
      <c r="U1460" s="1"/>
    </row>
    <row r="1461" spans="1:21" ht="9.75" customHeight="1" x14ac:dyDescent="0.4">
      <c r="A1461" s="1"/>
      <c r="B1461" s="1"/>
      <c r="C1461" s="17"/>
      <c r="D1461" s="17" t="s">
        <v>369</v>
      </c>
      <c r="E1461" s="17"/>
      <c r="F1461" s="32"/>
      <c r="G1461" s="6"/>
      <c r="H1461" s="6"/>
      <c r="I1461" s="6"/>
      <c r="J1461" s="6"/>
      <c r="K1461" s="6"/>
      <c r="L1461" s="6"/>
      <c r="M1461" s="6"/>
      <c r="N1461" s="6"/>
      <c r="O1461" s="31"/>
      <c r="P1461" s="32"/>
      <c r="Q1461" s="6"/>
      <c r="R1461" s="59"/>
      <c r="S1461" s="1"/>
      <c r="T1461" s="1"/>
      <c r="U1461" s="1"/>
    </row>
    <row r="1462" spans="1:21" ht="9.75" customHeight="1" x14ac:dyDescent="0.4">
      <c r="A1462" s="1"/>
      <c r="B1462" s="1"/>
      <c r="C1462" s="17"/>
      <c r="D1462" s="17" t="s">
        <v>308</v>
      </c>
      <c r="E1462" s="32">
        <v>23</v>
      </c>
      <c r="F1462" s="32">
        <v>7</v>
      </c>
      <c r="G1462" s="6">
        <v>6</v>
      </c>
      <c r="H1462" s="6">
        <v>6</v>
      </c>
      <c r="I1462" s="6">
        <v>8</v>
      </c>
      <c r="J1462" s="6">
        <v>0</v>
      </c>
      <c r="K1462" s="6">
        <v>0</v>
      </c>
      <c r="L1462" s="6">
        <v>6</v>
      </c>
      <c r="M1462" s="6">
        <v>8</v>
      </c>
      <c r="N1462" s="6">
        <v>9</v>
      </c>
      <c r="O1462" s="31">
        <v>15</v>
      </c>
      <c r="P1462" s="6">
        <f>MIN(F1462:O1462)</f>
        <v>0</v>
      </c>
      <c r="Q1462" s="6">
        <f>E1462-P1462</f>
        <v>23</v>
      </c>
      <c r="R1462" s="59">
        <f>Q1462/E1462</f>
        <v>1</v>
      </c>
      <c r="S1462" s="1"/>
      <c r="T1462" s="1"/>
      <c r="U1462" s="1"/>
    </row>
    <row r="1463" spans="1:21" ht="9.75" customHeight="1" x14ac:dyDescent="0.4">
      <c r="A1463" s="1"/>
      <c r="B1463" s="1"/>
      <c r="C1463" s="17"/>
      <c r="D1463" s="17" t="s">
        <v>374</v>
      </c>
      <c r="E1463" s="17"/>
      <c r="F1463" s="32"/>
      <c r="G1463" s="6"/>
      <c r="H1463" s="6"/>
      <c r="I1463" s="6"/>
      <c r="J1463" s="6"/>
      <c r="K1463" s="6"/>
      <c r="L1463" s="6"/>
      <c r="M1463" s="6"/>
      <c r="N1463" s="6"/>
      <c r="O1463" s="31"/>
      <c r="P1463" s="32"/>
      <c r="Q1463" s="6"/>
      <c r="R1463" s="59"/>
      <c r="S1463" s="1"/>
      <c r="T1463" s="1"/>
      <c r="U1463" s="1"/>
    </row>
    <row r="1464" spans="1:21" ht="9.75" customHeight="1" x14ac:dyDescent="0.4">
      <c r="A1464" s="1"/>
      <c r="B1464" s="1"/>
      <c r="C1464" s="17"/>
      <c r="D1464" s="17" t="s">
        <v>374</v>
      </c>
      <c r="E1464" s="17"/>
      <c r="F1464" s="32"/>
      <c r="G1464" s="6"/>
      <c r="H1464" s="6"/>
      <c r="I1464" s="6"/>
      <c r="J1464" s="6"/>
      <c r="K1464" s="6"/>
      <c r="L1464" s="6"/>
      <c r="M1464" s="6"/>
      <c r="N1464" s="6"/>
      <c r="O1464" s="31"/>
      <c r="P1464" s="32"/>
      <c r="Q1464" s="6"/>
      <c r="R1464" s="59"/>
      <c r="S1464" s="1"/>
      <c r="T1464" s="1"/>
      <c r="U1464" s="1"/>
    </row>
    <row r="1465" spans="1:21" ht="9.75" customHeight="1" x14ac:dyDescent="0.4">
      <c r="A1465" s="1"/>
      <c r="B1465" s="1"/>
      <c r="C1465" s="17"/>
      <c r="D1465" s="17" t="s">
        <v>374</v>
      </c>
      <c r="E1465" s="17"/>
      <c r="F1465" s="32"/>
      <c r="G1465" s="6"/>
      <c r="H1465" s="6"/>
      <c r="I1465" s="6"/>
      <c r="J1465" s="6"/>
      <c r="K1465" s="6"/>
      <c r="L1465" s="6"/>
      <c r="M1465" s="6"/>
      <c r="N1465" s="6"/>
      <c r="O1465" s="31"/>
      <c r="P1465" s="32"/>
      <c r="Q1465" s="6"/>
      <c r="R1465" s="59"/>
      <c r="S1465" s="1"/>
      <c r="T1465" s="1"/>
      <c r="U1465" s="1"/>
    </row>
    <row r="1466" spans="1:21" ht="9.75" customHeight="1" x14ac:dyDescent="0.4">
      <c r="A1466" s="1"/>
      <c r="B1466" s="1"/>
      <c r="C1466" s="17"/>
      <c r="D1466" s="17" t="s">
        <v>374</v>
      </c>
      <c r="E1466" s="17"/>
      <c r="F1466" s="32"/>
      <c r="G1466" s="6"/>
      <c r="H1466" s="6"/>
      <c r="I1466" s="6"/>
      <c r="J1466" s="6"/>
      <c r="K1466" s="6"/>
      <c r="L1466" s="6"/>
      <c r="M1466" s="6"/>
      <c r="N1466" s="6"/>
      <c r="O1466" s="31"/>
      <c r="P1466" s="32"/>
      <c r="Q1466" s="6"/>
      <c r="R1466" s="59"/>
      <c r="S1466" s="1"/>
      <c r="T1466" s="1"/>
      <c r="U1466" s="1"/>
    </row>
    <row r="1467" spans="1:21" ht="9.75" customHeight="1" x14ac:dyDescent="0.4">
      <c r="A1467" s="1"/>
      <c r="B1467" s="1"/>
      <c r="C1467" s="17"/>
      <c r="D1467" s="17" t="s">
        <v>374</v>
      </c>
      <c r="E1467" s="17"/>
      <c r="F1467" s="32"/>
      <c r="G1467" s="6"/>
      <c r="H1467" s="6"/>
      <c r="I1467" s="6"/>
      <c r="J1467" s="6"/>
      <c r="K1467" s="6"/>
      <c r="L1467" s="6"/>
      <c r="M1467" s="6"/>
      <c r="N1467" s="6"/>
      <c r="O1467" s="31"/>
      <c r="P1467" s="32"/>
      <c r="Q1467" s="6"/>
      <c r="R1467" s="59"/>
      <c r="S1467" s="1"/>
      <c r="T1467" s="1"/>
      <c r="U1467" s="1"/>
    </row>
    <row r="1468" spans="1:21" ht="9.75" customHeight="1" x14ac:dyDescent="0.4">
      <c r="A1468" s="1"/>
      <c r="B1468" s="1"/>
      <c r="C1468" s="17"/>
      <c r="D1468" s="17" t="s">
        <v>374</v>
      </c>
      <c r="E1468" s="17"/>
      <c r="F1468" s="32"/>
      <c r="G1468" s="6"/>
      <c r="H1468" s="6"/>
      <c r="I1468" s="6"/>
      <c r="J1468" s="6"/>
      <c r="K1468" s="6"/>
      <c r="L1468" s="6"/>
      <c r="M1468" s="6"/>
      <c r="N1468" s="6"/>
      <c r="O1468" s="31"/>
      <c r="P1468" s="32"/>
      <c r="Q1468" s="6"/>
      <c r="R1468" s="59"/>
      <c r="S1468" s="1"/>
      <c r="T1468" s="1"/>
      <c r="U1468" s="1"/>
    </row>
    <row r="1469" spans="1:21" ht="9.75" customHeight="1" x14ac:dyDescent="0.4">
      <c r="A1469" s="1"/>
      <c r="B1469" s="1"/>
      <c r="C1469" s="17"/>
      <c r="D1469" s="17" t="s">
        <v>310</v>
      </c>
      <c r="E1469" s="17">
        <v>6</v>
      </c>
      <c r="F1469" s="32">
        <v>0</v>
      </c>
      <c r="G1469" s="6">
        <v>0</v>
      </c>
      <c r="H1469" s="6">
        <v>1</v>
      </c>
      <c r="I1469" s="6">
        <v>1</v>
      </c>
      <c r="J1469" s="6">
        <v>1</v>
      </c>
      <c r="K1469" s="6">
        <v>0</v>
      </c>
      <c r="L1469" s="6">
        <v>3</v>
      </c>
      <c r="M1469" s="6">
        <v>0</v>
      </c>
      <c r="N1469" s="6">
        <v>2</v>
      </c>
      <c r="O1469" s="31">
        <v>4</v>
      </c>
      <c r="P1469" s="32">
        <f>MIN(F1469:O1469)</f>
        <v>0</v>
      </c>
      <c r="Q1469" s="6">
        <f>E1469-P1469</f>
        <v>6</v>
      </c>
      <c r="R1469" s="59">
        <f>Q1469/E1469</f>
        <v>1</v>
      </c>
      <c r="S1469" s="1"/>
      <c r="T1469" s="1"/>
      <c r="U1469" s="1"/>
    </row>
    <row r="1470" spans="1:21" ht="9.75" customHeight="1" x14ac:dyDescent="0.4">
      <c r="A1470" s="1"/>
      <c r="B1470" s="1"/>
      <c r="C1470" s="17"/>
      <c r="D1470" s="17" t="s">
        <v>311</v>
      </c>
      <c r="E1470" s="17"/>
      <c r="F1470" s="32"/>
      <c r="G1470" s="6"/>
      <c r="H1470" s="6"/>
      <c r="I1470" s="6"/>
      <c r="J1470" s="6"/>
      <c r="K1470" s="6"/>
      <c r="L1470" s="6"/>
      <c r="M1470" s="6"/>
      <c r="N1470" s="6"/>
      <c r="O1470" s="31"/>
      <c r="P1470" s="32"/>
      <c r="Q1470" s="6"/>
      <c r="R1470" s="59"/>
      <c r="S1470" s="1"/>
      <c r="T1470" s="1"/>
      <c r="U1470" s="1"/>
    </row>
    <row r="1471" spans="1:21" ht="9.75" customHeight="1" x14ac:dyDescent="0.4">
      <c r="A1471" s="1"/>
      <c r="B1471" s="1"/>
      <c r="C1471" s="17"/>
      <c r="D1471" s="17" t="s">
        <v>312</v>
      </c>
      <c r="E1471" s="17"/>
      <c r="F1471" s="32"/>
      <c r="G1471" s="6"/>
      <c r="H1471" s="6"/>
      <c r="I1471" s="6"/>
      <c r="J1471" s="6"/>
      <c r="K1471" s="6"/>
      <c r="L1471" s="6"/>
      <c r="M1471" s="6"/>
      <c r="N1471" s="6"/>
      <c r="O1471" s="31"/>
      <c r="P1471" s="32"/>
      <c r="Q1471" s="6"/>
      <c r="R1471" s="59"/>
      <c r="S1471" s="1"/>
      <c r="T1471" s="1"/>
      <c r="U1471" s="1"/>
    </row>
    <row r="1472" spans="1:21" ht="9.75" customHeight="1" x14ac:dyDescent="0.4">
      <c r="A1472" s="1"/>
      <c r="B1472" s="1"/>
      <c r="C1472" s="17"/>
      <c r="D1472" s="17" t="s">
        <v>313</v>
      </c>
      <c r="E1472" s="17"/>
      <c r="F1472" s="32"/>
      <c r="G1472" s="6"/>
      <c r="H1472" s="6"/>
      <c r="I1472" s="6"/>
      <c r="J1472" s="6"/>
      <c r="K1472" s="6"/>
      <c r="L1472" s="6"/>
      <c r="M1472" s="6"/>
      <c r="N1472" s="6"/>
      <c r="O1472" s="31"/>
      <c r="P1472" s="32"/>
      <c r="Q1472" s="6"/>
      <c r="R1472" s="59"/>
      <c r="S1472" s="1"/>
      <c r="T1472" s="1"/>
      <c r="U1472" s="1"/>
    </row>
    <row r="1473" spans="1:21" ht="9.75" customHeight="1" x14ac:dyDescent="0.4">
      <c r="A1473" s="1"/>
      <c r="B1473" s="1" t="s">
        <v>395</v>
      </c>
      <c r="C1473" s="34"/>
      <c r="D1473" s="65" t="s">
        <v>314</v>
      </c>
      <c r="E1473" s="65">
        <f t="shared" ref="E1473:O1473" si="237">SUM(E1457:E1472)</f>
        <v>49</v>
      </c>
      <c r="F1473" s="104">
        <f t="shared" si="237"/>
        <v>9</v>
      </c>
      <c r="G1473" s="128">
        <f t="shared" si="237"/>
        <v>7</v>
      </c>
      <c r="H1473" s="128">
        <f t="shared" si="237"/>
        <v>10</v>
      </c>
      <c r="I1473" s="128">
        <f t="shared" si="237"/>
        <v>10</v>
      </c>
      <c r="J1473" s="128">
        <f t="shared" si="237"/>
        <v>2</v>
      </c>
      <c r="K1473" s="128">
        <f t="shared" si="237"/>
        <v>2</v>
      </c>
      <c r="L1473" s="128">
        <f t="shared" si="237"/>
        <v>16</v>
      </c>
      <c r="M1473" s="128">
        <f t="shared" si="237"/>
        <v>12</v>
      </c>
      <c r="N1473" s="128">
        <f t="shared" si="237"/>
        <v>19</v>
      </c>
      <c r="O1473" s="129">
        <f t="shared" si="237"/>
        <v>30</v>
      </c>
      <c r="P1473" s="104">
        <f>MIN(F1473:O1473)</f>
        <v>2</v>
      </c>
      <c r="Q1473" s="128">
        <f>E1473-P1473</f>
        <v>47</v>
      </c>
      <c r="R1473" s="72">
        <f>Q1473/E1473</f>
        <v>0.95918367346938771</v>
      </c>
      <c r="S1473" s="1"/>
      <c r="T1473" s="1"/>
      <c r="U1473" s="1"/>
    </row>
    <row r="1474" spans="1:21" ht="9.75" customHeight="1" x14ac:dyDescent="0.4">
      <c r="A1474" s="1"/>
      <c r="B1474" s="1"/>
      <c r="C1474" s="15" t="s">
        <v>116</v>
      </c>
      <c r="D1474" s="15" t="s">
        <v>300</v>
      </c>
      <c r="E1474" s="15"/>
      <c r="F1474" s="73"/>
      <c r="G1474" s="108"/>
      <c r="H1474" s="108"/>
      <c r="I1474" s="108"/>
      <c r="J1474" s="108"/>
      <c r="K1474" s="108"/>
      <c r="L1474" s="108"/>
      <c r="M1474" s="108"/>
      <c r="N1474" s="108"/>
      <c r="O1474" s="109"/>
      <c r="P1474" s="73"/>
      <c r="Q1474" s="108"/>
      <c r="R1474" s="188"/>
      <c r="S1474" s="1"/>
      <c r="T1474" s="1"/>
      <c r="U1474" s="1"/>
    </row>
    <row r="1475" spans="1:21" ht="9.75" customHeight="1" x14ac:dyDescent="0.4">
      <c r="A1475" s="1"/>
      <c r="B1475" s="1"/>
      <c r="C1475" s="17"/>
      <c r="D1475" s="17" t="s">
        <v>301</v>
      </c>
      <c r="E1475" s="17"/>
      <c r="F1475" s="32"/>
      <c r="G1475" s="6"/>
      <c r="H1475" s="6"/>
      <c r="I1475" s="6"/>
      <c r="J1475" s="6"/>
      <c r="K1475" s="6"/>
      <c r="L1475" s="6"/>
      <c r="M1475" s="6"/>
      <c r="N1475" s="6"/>
      <c r="O1475" s="31"/>
      <c r="P1475" s="32"/>
      <c r="Q1475" s="6"/>
      <c r="R1475" s="59"/>
      <c r="S1475" s="1"/>
      <c r="T1475" s="1"/>
      <c r="U1475" s="1"/>
    </row>
    <row r="1476" spans="1:21" ht="9.75" customHeight="1" x14ac:dyDescent="0.4">
      <c r="A1476" s="1"/>
      <c r="B1476" s="1"/>
      <c r="C1476" s="17"/>
      <c r="D1476" s="17" t="s">
        <v>460</v>
      </c>
      <c r="E1476" s="17">
        <v>28</v>
      </c>
      <c r="F1476" s="351">
        <v>0</v>
      </c>
      <c r="G1476" s="6">
        <v>0</v>
      </c>
      <c r="H1476" s="6">
        <v>1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31">
        <v>0</v>
      </c>
      <c r="P1476" s="32">
        <f t="shared" ref="P1476:P1477" si="238">MIN(F1476:O1476)</f>
        <v>0</v>
      </c>
      <c r="Q1476" s="6">
        <f t="shared" ref="Q1476:Q1477" si="239">E1476-P1476</f>
        <v>28</v>
      </c>
      <c r="R1476" s="59">
        <f t="shared" ref="R1476:R1477" si="240">Q1476/E1476</f>
        <v>1</v>
      </c>
      <c r="S1476" s="1"/>
      <c r="T1476" s="1"/>
      <c r="U1476" s="1"/>
    </row>
    <row r="1477" spans="1:21" ht="9.75" customHeight="1" x14ac:dyDescent="0.4">
      <c r="A1477" s="1"/>
      <c r="B1477" s="1"/>
      <c r="C1477" s="17"/>
      <c r="D1477" s="17" t="s">
        <v>421</v>
      </c>
      <c r="E1477" s="17">
        <v>12</v>
      </c>
      <c r="F1477" s="350">
        <v>0</v>
      </c>
      <c r="G1477" s="6">
        <v>0</v>
      </c>
      <c r="H1477" s="6">
        <v>0</v>
      </c>
      <c r="I1477" s="6">
        <v>0</v>
      </c>
      <c r="J1477" s="6">
        <v>1</v>
      </c>
      <c r="K1477" s="6">
        <v>0</v>
      </c>
      <c r="L1477" s="6">
        <v>0</v>
      </c>
      <c r="M1477" s="6">
        <v>2</v>
      </c>
      <c r="N1477" s="6">
        <v>2</v>
      </c>
      <c r="O1477" s="31">
        <v>2</v>
      </c>
      <c r="P1477" s="32">
        <f t="shared" si="238"/>
        <v>0</v>
      </c>
      <c r="Q1477" s="6">
        <f t="shared" si="239"/>
        <v>12</v>
      </c>
      <c r="R1477" s="59">
        <f t="shared" si="240"/>
        <v>1</v>
      </c>
      <c r="S1477" s="1"/>
      <c r="T1477" s="1"/>
      <c r="U1477" s="1"/>
    </row>
    <row r="1478" spans="1:21" ht="9.75" customHeight="1" x14ac:dyDescent="0.4">
      <c r="A1478" s="1"/>
      <c r="B1478" s="1"/>
      <c r="C1478" s="17"/>
      <c r="D1478" s="17" t="s">
        <v>369</v>
      </c>
      <c r="E1478" s="17"/>
      <c r="F1478" s="350"/>
      <c r="G1478" s="6"/>
      <c r="H1478" s="6"/>
      <c r="I1478" s="6"/>
      <c r="J1478" s="6"/>
      <c r="K1478" s="6"/>
      <c r="L1478" s="6"/>
      <c r="M1478" s="6"/>
      <c r="N1478" s="6"/>
      <c r="O1478" s="31"/>
      <c r="P1478" s="32"/>
      <c r="Q1478" s="6"/>
      <c r="R1478" s="59"/>
      <c r="S1478" s="1"/>
      <c r="T1478" s="1"/>
      <c r="U1478" s="1"/>
    </row>
    <row r="1479" spans="1:21" ht="9.75" customHeight="1" x14ac:dyDescent="0.4">
      <c r="A1479" s="1"/>
      <c r="B1479" s="1"/>
      <c r="C1479" s="17"/>
      <c r="D1479" s="17" t="s">
        <v>461</v>
      </c>
      <c r="E1479" s="17">
        <v>5</v>
      </c>
      <c r="F1479" s="350">
        <v>4</v>
      </c>
      <c r="G1479" s="6">
        <v>0</v>
      </c>
      <c r="H1479" s="6">
        <v>0</v>
      </c>
      <c r="I1479" s="6">
        <v>1</v>
      </c>
      <c r="J1479" s="6">
        <v>1</v>
      </c>
      <c r="K1479" s="6">
        <v>1</v>
      </c>
      <c r="L1479" s="6">
        <v>0</v>
      </c>
      <c r="M1479" s="6">
        <v>1</v>
      </c>
      <c r="N1479" s="6">
        <v>1</v>
      </c>
      <c r="O1479" s="31">
        <v>1</v>
      </c>
      <c r="P1479" s="32">
        <f>MIN(F1479:O1479)</f>
        <v>0</v>
      </c>
      <c r="Q1479" s="6">
        <f>E1479-P1479</f>
        <v>5</v>
      </c>
      <c r="R1479" s="59">
        <f>Q1479/E1479</f>
        <v>1</v>
      </c>
      <c r="S1479" s="1"/>
      <c r="T1479" s="1"/>
      <c r="U1479" s="1"/>
    </row>
    <row r="1480" spans="1:21" ht="9.75" customHeight="1" x14ac:dyDescent="0.4">
      <c r="A1480" s="1"/>
      <c r="B1480" s="1"/>
      <c r="C1480" s="17"/>
      <c r="D1480" s="17" t="s">
        <v>374</v>
      </c>
      <c r="E1480" s="17"/>
      <c r="F1480" s="350"/>
      <c r="G1480" s="6"/>
      <c r="H1480" s="6"/>
      <c r="I1480" s="6"/>
      <c r="J1480" s="6"/>
      <c r="K1480" s="6"/>
      <c r="L1480" s="6"/>
      <c r="M1480" s="6"/>
      <c r="N1480" s="6"/>
      <c r="O1480" s="31"/>
      <c r="P1480" s="32"/>
      <c r="Q1480" s="6"/>
      <c r="R1480" s="59"/>
      <c r="S1480" s="1"/>
      <c r="T1480" s="1"/>
      <c r="U1480" s="1"/>
    </row>
    <row r="1481" spans="1:21" ht="9.75" customHeight="1" x14ac:dyDescent="0.4">
      <c r="A1481" s="1"/>
      <c r="B1481" s="1"/>
      <c r="C1481" s="17"/>
      <c r="D1481" s="17" t="s">
        <v>374</v>
      </c>
      <c r="E1481" s="17"/>
      <c r="F1481" s="350"/>
      <c r="G1481" s="6"/>
      <c r="H1481" s="6"/>
      <c r="I1481" s="6"/>
      <c r="J1481" s="6"/>
      <c r="K1481" s="6"/>
      <c r="L1481" s="6"/>
      <c r="M1481" s="6"/>
      <c r="N1481" s="6"/>
      <c r="O1481" s="31"/>
      <c r="P1481" s="32"/>
      <c r="Q1481" s="6"/>
      <c r="R1481" s="59"/>
      <c r="S1481" s="1"/>
      <c r="T1481" s="1"/>
      <c r="U1481" s="1"/>
    </row>
    <row r="1482" spans="1:21" ht="9.75" customHeight="1" x14ac:dyDescent="0.4">
      <c r="A1482" s="1"/>
      <c r="B1482" s="1"/>
      <c r="C1482" s="17"/>
      <c r="D1482" s="17" t="s">
        <v>374</v>
      </c>
      <c r="E1482" s="17"/>
      <c r="F1482" s="350"/>
      <c r="G1482" s="6"/>
      <c r="H1482" s="6"/>
      <c r="I1482" s="6"/>
      <c r="J1482" s="6"/>
      <c r="K1482" s="6"/>
      <c r="L1482" s="6"/>
      <c r="M1482" s="6"/>
      <c r="N1482" s="6"/>
      <c r="O1482" s="31"/>
      <c r="P1482" s="32"/>
      <c r="Q1482" s="6"/>
      <c r="R1482" s="59"/>
      <c r="S1482" s="1"/>
      <c r="T1482" s="1"/>
      <c r="U1482" s="1"/>
    </row>
    <row r="1483" spans="1:21" ht="9.75" customHeight="1" x14ac:dyDescent="0.4">
      <c r="A1483" s="1"/>
      <c r="B1483" s="1"/>
      <c r="C1483" s="17"/>
      <c r="D1483" s="17" t="s">
        <v>374</v>
      </c>
      <c r="E1483" s="17"/>
      <c r="F1483" s="350"/>
      <c r="G1483" s="6"/>
      <c r="H1483" s="6"/>
      <c r="I1483" s="6"/>
      <c r="J1483" s="6"/>
      <c r="K1483" s="6"/>
      <c r="L1483" s="6"/>
      <c r="M1483" s="6"/>
      <c r="N1483" s="6"/>
      <c r="O1483" s="31"/>
      <c r="P1483" s="32"/>
      <c r="Q1483" s="6"/>
      <c r="R1483" s="59"/>
      <c r="S1483" s="1"/>
      <c r="T1483" s="1"/>
      <c r="U1483" s="1"/>
    </row>
    <row r="1484" spans="1:21" ht="9.75" customHeight="1" x14ac:dyDescent="0.4">
      <c r="A1484" s="1"/>
      <c r="B1484" s="1"/>
      <c r="C1484" s="17"/>
      <c r="D1484" s="17" t="s">
        <v>374</v>
      </c>
      <c r="E1484" s="17"/>
      <c r="F1484" s="350"/>
      <c r="G1484" s="6"/>
      <c r="H1484" s="6"/>
      <c r="I1484" s="6"/>
      <c r="J1484" s="6"/>
      <c r="K1484" s="6"/>
      <c r="L1484" s="6"/>
      <c r="M1484" s="6"/>
      <c r="N1484" s="6"/>
      <c r="O1484" s="31"/>
      <c r="P1484" s="32"/>
      <c r="Q1484" s="6"/>
      <c r="R1484" s="59"/>
      <c r="S1484" s="1"/>
      <c r="T1484" s="1"/>
      <c r="U1484" s="1"/>
    </row>
    <row r="1485" spans="1:21" ht="9.75" customHeight="1" x14ac:dyDescent="0.4">
      <c r="A1485" s="1"/>
      <c r="B1485" s="1"/>
      <c r="C1485" s="17"/>
      <c r="D1485" s="17" t="s">
        <v>374</v>
      </c>
      <c r="E1485" s="17"/>
      <c r="F1485" s="350"/>
      <c r="G1485" s="6"/>
      <c r="H1485" s="6"/>
      <c r="I1485" s="6"/>
      <c r="J1485" s="6"/>
      <c r="K1485" s="6"/>
      <c r="L1485" s="6"/>
      <c r="M1485" s="6"/>
      <c r="N1485" s="6"/>
      <c r="O1485" s="31"/>
      <c r="P1485" s="32"/>
      <c r="Q1485" s="6"/>
      <c r="R1485" s="59"/>
      <c r="S1485" s="1"/>
      <c r="T1485" s="1"/>
      <c r="U1485" s="1"/>
    </row>
    <row r="1486" spans="1:21" ht="9.75" customHeight="1" x14ac:dyDescent="0.4">
      <c r="A1486" s="1"/>
      <c r="B1486" s="1"/>
      <c r="C1486" s="17"/>
      <c r="D1486" s="17" t="s">
        <v>310</v>
      </c>
      <c r="E1486" s="17">
        <v>6</v>
      </c>
      <c r="F1486" s="350">
        <v>2</v>
      </c>
      <c r="G1486" s="6">
        <v>2</v>
      </c>
      <c r="H1486" s="6">
        <v>2</v>
      </c>
      <c r="I1486" s="6">
        <v>3</v>
      </c>
      <c r="J1486" s="6">
        <v>2</v>
      </c>
      <c r="K1486" s="6">
        <v>0</v>
      </c>
      <c r="L1486" s="6">
        <v>0</v>
      </c>
      <c r="M1486" s="6">
        <v>0</v>
      </c>
      <c r="N1486" s="6">
        <v>0</v>
      </c>
      <c r="O1486" s="31">
        <v>0</v>
      </c>
      <c r="P1486" s="32">
        <f>MIN(F1486:O1486)</f>
        <v>0</v>
      </c>
      <c r="Q1486" s="6">
        <f>E1486-P1486</f>
        <v>6</v>
      </c>
      <c r="R1486" s="59">
        <f>Q1486/E1486</f>
        <v>1</v>
      </c>
      <c r="S1486" s="1"/>
      <c r="T1486" s="1"/>
      <c r="U1486" s="1"/>
    </row>
    <row r="1487" spans="1:21" ht="9.75" customHeight="1" x14ac:dyDescent="0.4">
      <c r="A1487" s="1"/>
      <c r="B1487" s="1"/>
      <c r="C1487" s="17"/>
      <c r="D1487" s="17" t="s">
        <v>311</v>
      </c>
      <c r="E1487" s="17"/>
      <c r="F1487" s="350"/>
      <c r="G1487" s="6"/>
      <c r="H1487" s="6"/>
      <c r="I1487" s="6"/>
      <c r="J1487" s="6"/>
      <c r="K1487" s="6"/>
      <c r="L1487" s="6"/>
      <c r="M1487" s="6"/>
      <c r="N1487" s="6"/>
      <c r="O1487" s="31"/>
      <c r="P1487" s="32"/>
      <c r="Q1487" s="6"/>
      <c r="R1487" s="59"/>
      <c r="S1487" s="1"/>
      <c r="T1487" s="1"/>
      <c r="U1487" s="1"/>
    </row>
    <row r="1488" spans="1:21" ht="9.75" customHeight="1" x14ac:dyDescent="0.4">
      <c r="A1488" s="1"/>
      <c r="B1488" s="1"/>
      <c r="C1488" s="17"/>
      <c r="D1488" s="17" t="s">
        <v>312</v>
      </c>
      <c r="E1488" s="17"/>
      <c r="F1488" s="350"/>
      <c r="G1488" s="6"/>
      <c r="H1488" s="6"/>
      <c r="I1488" s="6"/>
      <c r="J1488" s="6"/>
      <c r="K1488" s="6"/>
      <c r="L1488" s="6"/>
      <c r="M1488" s="6"/>
      <c r="N1488" s="6"/>
      <c r="O1488" s="31"/>
      <c r="P1488" s="32"/>
      <c r="Q1488" s="6"/>
      <c r="R1488" s="59"/>
      <c r="S1488" s="1"/>
      <c r="T1488" s="1"/>
      <c r="U1488" s="1"/>
    </row>
    <row r="1489" spans="1:21" ht="9.75" customHeight="1" x14ac:dyDescent="0.4">
      <c r="A1489" s="1"/>
      <c r="B1489" s="1"/>
      <c r="C1489" s="17"/>
      <c r="D1489" s="17" t="s">
        <v>313</v>
      </c>
      <c r="E1489" s="17">
        <v>3</v>
      </c>
      <c r="F1489" s="350">
        <v>3</v>
      </c>
      <c r="G1489" s="6">
        <v>3</v>
      </c>
      <c r="H1489" s="6">
        <v>3</v>
      </c>
      <c r="I1489" s="6">
        <v>0</v>
      </c>
      <c r="J1489" s="6">
        <v>0</v>
      </c>
      <c r="K1489" s="6">
        <v>0</v>
      </c>
      <c r="L1489" s="6">
        <v>1</v>
      </c>
      <c r="M1489" s="6">
        <v>1</v>
      </c>
      <c r="N1489" s="6">
        <v>2</v>
      </c>
      <c r="O1489" s="31">
        <v>2</v>
      </c>
      <c r="P1489" s="32">
        <f t="shared" ref="P1489:P1490" si="241">MIN(F1489:O1489)</f>
        <v>0</v>
      </c>
      <c r="Q1489" s="6">
        <f t="shared" ref="Q1489:Q1490" si="242">E1489-P1489</f>
        <v>3</v>
      </c>
      <c r="R1489" s="59">
        <f t="shared" ref="R1489:R1490" si="243">Q1489/E1489</f>
        <v>1</v>
      </c>
      <c r="S1489" s="1"/>
      <c r="T1489" s="1"/>
      <c r="U1489" s="1"/>
    </row>
    <row r="1490" spans="1:21" ht="9.75" customHeight="1" x14ac:dyDescent="0.4">
      <c r="A1490" s="1"/>
      <c r="B1490" s="1" t="s">
        <v>395</v>
      </c>
      <c r="C1490" s="34"/>
      <c r="D1490" s="65" t="s">
        <v>314</v>
      </c>
      <c r="E1490" s="65">
        <f t="shared" ref="E1490:O1490" si="244">SUM(E1474:E1489)</f>
        <v>54</v>
      </c>
      <c r="F1490" s="104">
        <f t="shared" si="244"/>
        <v>9</v>
      </c>
      <c r="G1490" s="128">
        <f t="shared" si="244"/>
        <v>5</v>
      </c>
      <c r="H1490" s="128">
        <f t="shared" si="244"/>
        <v>6</v>
      </c>
      <c r="I1490" s="128">
        <f t="shared" si="244"/>
        <v>4</v>
      </c>
      <c r="J1490" s="128">
        <f t="shared" si="244"/>
        <v>4</v>
      </c>
      <c r="K1490" s="128">
        <f t="shared" si="244"/>
        <v>1</v>
      </c>
      <c r="L1490" s="128">
        <f t="shared" si="244"/>
        <v>1</v>
      </c>
      <c r="M1490" s="128">
        <f t="shared" si="244"/>
        <v>4</v>
      </c>
      <c r="N1490" s="128">
        <f t="shared" si="244"/>
        <v>5</v>
      </c>
      <c r="O1490" s="129">
        <f t="shared" si="244"/>
        <v>5</v>
      </c>
      <c r="P1490" s="104">
        <f t="shared" si="241"/>
        <v>1</v>
      </c>
      <c r="Q1490" s="128">
        <f t="shared" si="242"/>
        <v>53</v>
      </c>
      <c r="R1490" s="72">
        <f t="shared" si="243"/>
        <v>0.98148148148148151</v>
      </c>
      <c r="S1490" s="1"/>
      <c r="T1490" s="1"/>
      <c r="U1490" s="1"/>
    </row>
    <row r="1491" spans="1:21" ht="9.75" customHeight="1" x14ac:dyDescent="0.4">
      <c r="A1491" s="1"/>
      <c r="B1491" s="1"/>
      <c r="C1491" s="15" t="s">
        <v>133</v>
      </c>
      <c r="D1491" s="15" t="s">
        <v>300</v>
      </c>
      <c r="E1491" s="15"/>
      <c r="F1491" s="73"/>
      <c r="G1491" s="108"/>
      <c r="H1491" s="108"/>
      <c r="I1491" s="108"/>
      <c r="J1491" s="108"/>
      <c r="K1491" s="108"/>
      <c r="L1491" s="108"/>
      <c r="M1491" s="108"/>
      <c r="N1491" s="108"/>
      <c r="O1491" s="109"/>
      <c r="P1491" s="73"/>
      <c r="Q1491" s="108"/>
      <c r="R1491" s="188"/>
      <c r="S1491" s="1"/>
      <c r="T1491" s="1"/>
      <c r="U1491" s="1"/>
    </row>
    <row r="1492" spans="1:21" ht="9.75" customHeight="1" x14ac:dyDescent="0.4">
      <c r="A1492" s="1"/>
      <c r="B1492" s="1"/>
      <c r="C1492" s="17"/>
      <c r="D1492" s="17" t="s">
        <v>301</v>
      </c>
      <c r="E1492" s="17"/>
      <c r="F1492" s="350"/>
      <c r="G1492" s="6"/>
      <c r="H1492" s="6"/>
      <c r="I1492" s="6"/>
      <c r="J1492" s="6"/>
      <c r="K1492" s="6"/>
      <c r="L1492" s="6"/>
      <c r="M1492" s="6"/>
      <c r="N1492" s="6"/>
      <c r="O1492" s="31"/>
      <c r="P1492" s="32"/>
      <c r="Q1492" s="6"/>
      <c r="R1492" s="59"/>
      <c r="S1492" s="1"/>
      <c r="T1492" s="1"/>
      <c r="U1492" s="1"/>
    </row>
    <row r="1493" spans="1:21" ht="9.75" customHeight="1" x14ac:dyDescent="0.4">
      <c r="A1493" s="1"/>
      <c r="B1493" s="1"/>
      <c r="C1493" s="17"/>
      <c r="D1493" s="17" t="s">
        <v>303</v>
      </c>
      <c r="E1493" s="17"/>
      <c r="F1493" s="350"/>
      <c r="G1493" s="6"/>
      <c r="H1493" s="6"/>
      <c r="I1493" s="6"/>
      <c r="J1493" s="6"/>
      <c r="K1493" s="6"/>
      <c r="L1493" s="6"/>
      <c r="M1493" s="6"/>
      <c r="N1493" s="6"/>
      <c r="O1493" s="31"/>
      <c r="P1493" s="32"/>
      <c r="Q1493" s="6"/>
      <c r="R1493" s="59"/>
      <c r="S1493" s="1"/>
      <c r="T1493" s="1"/>
      <c r="U1493" s="1"/>
    </row>
    <row r="1494" spans="1:21" ht="9.75" customHeight="1" x14ac:dyDescent="0.4">
      <c r="A1494" s="1"/>
      <c r="B1494" s="1"/>
      <c r="C1494" s="17"/>
      <c r="D1494" s="17" t="s">
        <v>369</v>
      </c>
      <c r="E1494" s="17"/>
      <c r="F1494" s="350"/>
      <c r="G1494" s="6"/>
      <c r="H1494" s="6"/>
      <c r="I1494" s="6"/>
      <c r="J1494" s="6"/>
      <c r="K1494" s="6"/>
      <c r="L1494" s="6"/>
      <c r="M1494" s="6"/>
      <c r="N1494" s="6"/>
      <c r="O1494" s="31"/>
      <c r="P1494" s="32"/>
      <c r="Q1494" s="6"/>
      <c r="R1494" s="59"/>
      <c r="S1494" s="1"/>
      <c r="T1494" s="1"/>
      <c r="U1494" s="1"/>
    </row>
    <row r="1495" spans="1:21" ht="9.75" customHeight="1" x14ac:dyDescent="0.4">
      <c r="A1495" s="1"/>
      <c r="B1495" s="1"/>
      <c r="C1495" s="17"/>
      <c r="D1495" s="17" t="s">
        <v>369</v>
      </c>
      <c r="E1495" s="17"/>
      <c r="F1495" s="350"/>
      <c r="G1495" s="6"/>
      <c r="H1495" s="6"/>
      <c r="I1495" s="6"/>
      <c r="J1495" s="6"/>
      <c r="K1495" s="6"/>
      <c r="L1495" s="6"/>
      <c r="M1495" s="6"/>
      <c r="N1495" s="6"/>
      <c r="O1495" s="31"/>
      <c r="P1495" s="32"/>
      <c r="Q1495" s="6"/>
      <c r="R1495" s="59"/>
      <c r="S1495" s="1"/>
      <c r="T1495" s="1"/>
      <c r="U1495" s="1"/>
    </row>
    <row r="1496" spans="1:21" ht="9.75" customHeight="1" x14ac:dyDescent="0.4">
      <c r="A1496" s="1"/>
      <c r="B1496" s="1"/>
      <c r="C1496" s="17"/>
      <c r="D1496" s="17" t="s">
        <v>308</v>
      </c>
      <c r="E1496" s="17">
        <v>4</v>
      </c>
      <c r="F1496" s="350">
        <v>4</v>
      </c>
      <c r="G1496" s="6">
        <v>4</v>
      </c>
      <c r="H1496" s="6">
        <v>4</v>
      </c>
      <c r="I1496" s="6">
        <v>3</v>
      </c>
      <c r="J1496" s="6">
        <v>2</v>
      </c>
      <c r="K1496" s="6">
        <v>2</v>
      </c>
      <c r="L1496" s="6">
        <v>3</v>
      </c>
      <c r="M1496" s="6">
        <v>3</v>
      </c>
      <c r="N1496" s="6">
        <v>3</v>
      </c>
      <c r="O1496" s="31">
        <v>3</v>
      </c>
      <c r="P1496" s="32">
        <f>MIN(F1496:O1496)</f>
        <v>2</v>
      </c>
      <c r="Q1496" s="6">
        <f>E1496-P1496</f>
        <v>2</v>
      </c>
      <c r="R1496" s="59">
        <f>Q1496/E1496</f>
        <v>0.5</v>
      </c>
      <c r="S1496" s="1"/>
      <c r="T1496" s="1"/>
      <c r="U1496" s="1"/>
    </row>
    <row r="1497" spans="1:21" ht="9.75" customHeight="1" x14ac:dyDescent="0.4">
      <c r="A1497" s="1"/>
      <c r="B1497" s="1"/>
      <c r="C1497" s="17"/>
      <c r="D1497" s="17" t="s">
        <v>374</v>
      </c>
      <c r="E1497" s="17"/>
      <c r="F1497" s="350"/>
      <c r="G1497" s="6"/>
      <c r="H1497" s="6"/>
      <c r="I1497" s="6"/>
      <c r="J1497" s="6"/>
      <c r="K1497" s="6"/>
      <c r="L1497" s="6"/>
      <c r="M1497" s="6"/>
      <c r="N1497" s="6"/>
      <c r="O1497" s="31"/>
      <c r="P1497" s="32"/>
      <c r="Q1497" s="6"/>
      <c r="R1497" s="59"/>
      <c r="S1497" s="1"/>
      <c r="T1497" s="1"/>
      <c r="U1497" s="1"/>
    </row>
    <row r="1498" spans="1:21" ht="9.75" customHeight="1" x14ac:dyDescent="0.4">
      <c r="A1498" s="1"/>
      <c r="B1498" s="1"/>
      <c r="C1498" s="17"/>
      <c r="D1498" s="17" t="s">
        <v>374</v>
      </c>
      <c r="E1498" s="17"/>
      <c r="F1498" s="350"/>
      <c r="G1498" s="6"/>
      <c r="H1498" s="6"/>
      <c r="I1498" s="6"/>
      <c r="J1498" s="6"/>
      <c r="K1498" s="6"/>
      <c r="L1498" s="6"/>
      <c r="M1498" s="6"/>
      <c r="N1498" s="6"/>
      <c r="O1498" s="31"/>
      <c r="P1498" s="32"/>
      <c r="Q1498" s="6"/>
      <c r="R1498" s="59"/>
      <c r="S1498" s="1"/>
      <c r="T1498" s="1"/>
      <c r="U1498" s="1"/>
    </row>
    <row r="1499" spans="1:21" ht="9.75" customHeight="1" x14ac:dyDescent="0.4">
      <c r="A1499" s="1"/>
      <c r="B1499" s="1"/>
      <c r="C1499" s="17"/>
      <c r="D1499" s="17" t="s">
        <v>374</v>
      </c>
      <c r="E1499" s="17"/>
      <c r="F1499" s="350"/>
      <c r="G1499" s="6"/>
      <c r="H1499" s="6"/>
      <c r="I1499" s="6"/>
      <c r="J1499" s="6"/>
      <c r="K1499" s="6"/>
      <c r="L1499" s="6"/>
      <c r="M1499" s="6"/>
      <c r="N1499" s="6"/>
      <c r="O1499" s="31"/>
      <c r="P1499" s="32"/>
      <c r="Q1499" s="6"/>
      <c r="R1499" s="59"/>
      <c r="S1499" s="1"/>
      <c r="T1499" s="1"/>
      <c r="U1499" s="1"/>
    </row>
    <row r="1500" spans="1:21" ht="9.75" customHeight="1" x14ac:dyDescent="0.4">
      <c r="A1500" s="1"/>
      <c r="B1500" s="1"/>
      <c r="C1500" s="17"/>
      <c r="D1500" s="17" t="s">
        <v>374</v>
      </c>
      <c r="E1500" s="17"/>
      <c r="F1500" s="350"/>
      <c r="G1500" s="6"/>
      <c r="H1500" s="6"/>
      <c r="I1500" s="6"/>
      <c r="J1500" s="6"/>
      <c r="K1500" s="6"/>
      <c r="L1500" s="6"/>
      <c r="M1500" s="6"/>
      <c r="N1500" s="6"/>
      <c r="O1500" s="31"/>
      <c r="P1500" s="32"/>
      <c r="Q1500" s="6"/>
      <c r="R1500" s="59"/>
      <c r="S1500" s="1"/>
      <c r="T1500" s="1"/>
      <c r="U1500" s="1"/>
    </row>
    <row r="1501" spans="1:21" ht="9.75" customHeight="1" x14ac:dyDescent="0.4">
      <c r="A1501" s="1"/>
      <c r="B1501" s="1"/>
      <c r="C1501" s="17"/>
      <c r="D1501" s="17" t="s">
        <v>374</v>
      </c>
      <c r="E1501" s="17"/>
      <c r="F1501" s="350"/>
      <c r="G1501" s="6"/>
      <c r="H1501" s="6"/>
      <c r="I1501" s="6"/>
      <c r="J1501" s="6"/>
      <c r="K1501" s="6"/>
      <c r="L1501" s="6"/>
      <c r="M1501" s="6"/>
      <c r="N1501" s="6"/>
      <c r="O1501" s="31"/>
      <c r="P1501" s="32"/>
      <c r="Q1501" s="6"/>
      <c r="R1501" s="59"/>
      <c r="S1501" s="1"/>
      <c r="T1501" s="1"/>
      <c r="U1501" s="1"/>
    </row>
    <row r="1502" spans="1:21" ht="9.75" customHeight="1" x14ac:dyDescent="0.4">
      <c r="A1502" s="1"/>
      <c r="B1502" s="1"/>
      <c r="C1502" s="17"/>
      <c r="D1502" s="17" t="s">
        <v>374</v>
      </c>
      <c r="E1502" s="17"/>
      <c r="F1502" s="350"/>
      <c r="G1502" s="6"/>
      <c r="H1502" s="6"/>
      <c r="I1502" s="6"/>
      <c r="J1502" s="6"/>
      <c r="K1502" s="6"/>
      <c r="L1502" s="6"/>
      <c r="M1502" s="6"/>
      <c r="N1502" s="6"/>
      <c r="O1502" s="31"/>
      <c r="P1502" s="32"/>
      <c r="Q1502" s="6"/>
      <c r="R1502" s="59"/>
      <c r="S1502" s="1"/>
      <c r="T1502" s="1"/>
      <c r="U1502" s="1"/>
    </row>
    <row r="1503" spans="1:21" ht="9.75" customHeight="1" x14ac:dyDescent="0.4">
      <c r="A1503" s="1"/>
      <c r="B1503" s="1"/>
      <c r="C1503" s="17"/>
      <c r="D1503" s="17" t="s">
        <v>310</v>
      </c>
      <c r="E1503" s="17"/>
      <c r="F1503" s="350"/>
      <c r="G1503" s="6"/>
      <c r="H1503" s="6"/>
      <c r="I1503" s="6"/>
      <c r="J1503" s="6"/>
      <c r="K1503" s="6"/>
      <c r="L1503" s="6"/>
      <c r="M1503" s="6"/>
      <c r="N1503" s="6"/>
      <c r="O1503" s="31"/>
      <c r="P1503" s="32"/>
      <c r="Q1503" s="6"/>
      <c r="R1503" s="59"/>
      <c r="S1503" s="1"/>
      <c r="T1503" s="1"/>
      <c r="U1503" s="1"/>
    </row>
    <row r="1504" spans="1:21" ht="9.75" customHeight="1" x14ac:dyDescent="0.4">
      <c r="A1504" s="1"/>
      <c r="B1504" s="1"/>
      <c r="C1504" s="17"/>
      <c r="D1504" s="17" t="s">
        <v>311</v>
      </c>
      <c r="E1504" s="17"/>
      <c r="F1504" s="350"/>
      <c r="G1504" s="6"/>
      <c r="H1504" s="6"/>
      <c r="I1504" s="6"/>
      <c r="J1504" s="6"/>
      <c r="K1504" s="6"/>
      <c r="L1504" s="6"/>
      <c r="M1504" s="6"/>
      <c r="N1504" s="6"/>
      <c r="O1504" s="31"/>
      <c r="P1504" s="32"/>
      <c r="Q1504" s="6"/>
      <c r="R1504" s="59"/>
      <c r="S1504" s="1"/>
      <c r="T1504" s="1"/>
      <c r="U1504" s="1"/>
    </row>
    <row r="1505" spans="1:21" ht="9.75" customHeight="1" x14ac:dyDescent="0.4">
      <c r="A1505" s="1"/>
      <c r="B1505" s="1"/>
      <c r="C1505" s="17"/>
      <c r="D1505" s="17" t="s">
        <v>312</v>
      </c>
      <c r="E1505" s="17">
        <v>1</v>
      </c>
      <c r="F1505" s="350">
        <v>1</v>
      </c>
      <c r="G1505" s="6">
        <v>1</v>
      </c>
      <c r="H1505" s="6">
        <v>1</v>
      </c>
      <c r="I1505" s="6">
        <v>0</v>
      </c>
      <c r="J1505" s="6">
        <v>0</v>
      </c>
      <c r="K1505" s="6">
        <v>0</v>
      </c>
      <c r="L1505" s="6">
        <v>1</v>
      </c>
      <c r="M1505" s="6">
        <v>1</v>
      </c>
      <c r="N1505" s="6">
        <v>1</v>
      </c>
      <c r="O1505" s="31">
        <v>1</v>
      </c>
      <c r="P1505" s="32">
        <f>MIN(F1505:O1505)</f>
        <v>0</v>
      </c>
      <c r="Q1505" s="6">
        <f>E1505-P1505</f>
        <v>1</v>
      </c>
      <c r="R1505" s="59">
        <f>Q1505/E1505</f>
        <v>1</v>
      </c>
      <c r="S1505" s="1"/>
      <c r="T1505" s="1"/>
      <c r="U1505" s="1"/>
    </row>
    <row r="1506" spans="1:21" ht="9.75" customHeight="1" x14ac:dyDescent="0.4">
      <c r="A1506" s="1"/>
      <c r="B1506" s="1"/>
      <c r="C1506" s="17"/>
      <c r="D1506" s="17" t="s">
        <v>313</v>
      </c>
      <c r="E1506" s="17"/>
      <c r="F1506" s="350"/>
      <c r="G1506" s="6"/>
      <c r="H1506" s="6"/>
      <c r="I1506" s="6"/>
      <c r="J1506" s="6"/>
      <c r="K1506" s="6"/>
      <c r="L1506" s="6"/>
      <c r="M1506" s="6"/>
      <c r="N1506" s="6"/>
      <c r="O1506" s="31"/>
      <c r="P1506" s="32"/>
      <c r="Q1506" s="6"/>
      <c r="R1506" s="59"/>
      <c r="S1506" s="1"/>
      <c r="T1506" s="1"/>
      <c r="U1506" s="1"/>
    </row>
    <row r="1507" spans="1:21" ht="9.75" customHeight="1" x14ac:dyDescent="0.4">
      <c r="A1507" s="1"/>
      <c r="B1507" s="1" t="s">
        <v>395</v>
      </c>
      <c r="C1507" s="34"/>
      <c r="D1507" s="65" t="s">
        <v>314</v>
      </c>
      <c r="E1507" s="65">
        <f t="shared" ref="E1507:O1507" si="245">SUM(E1491:E1506)</f>
        <v>5</v>
      </c>
      <c r="F1507" s="104">
        <f t="shared" si="245"/>
        <v>5</v>
      </c>
      <c r="G1507" s="128">
        <f t="shared" si="245"/>
        <v>5</v>
      </c>
      <c r="H1507" s="128">
        <f t="shared" si="245"/>
        <v>5</v>
      </c>
      <c r="I1507" s="128">
        <f t="shared" si="245"/>
        <v>3</v>
      </c>
      <c r="J1507" s="128">
        <f t="shared" si="245"/>
        <v>2</v>
      </c>
      <c r="K1507" s="128">
        <f t="shared" si="245"/>
        <v>2</v>
      </c>
      <c r="L1507" s="128">
        <f t="shared" si="245"/>
        <v>4</v>
      </c>
      <c r="M1507" s="128">
        <f t="shared" si="245"/>
        <v>4</v>
      </c>
      <c r="N1507" s="128">
        <f t="shared" si="245"/>
        <v>4</v>
      </c>
      <c r="O1507" s="129">
        <f t="shared" si="245"/>
        <v>4</v>
      </c>
      <c r="P1507" s="104">
        <f t="shared" ref="P1507:P1508" si="246">MIN(F1507:O1507)</f>
        <v>2</v>
      </c>
      <c r="Q1507" s="128">
        <f t="shared" ref="Q1507:Q1508" si="247">E1507-P1507</f>
        <v>3</v>
      </c>
      <c r="R1507" s="72">
        <f t="shared" ref="R1507:R1508" si="248">Q1507/E1507</f>
        <v>0.6</v>
      </c>
      <c r="S1507" s="1"/>
      <c r="T1507" s="1"/>
      <c r="U1507" s="1"/>
    </row>
    <row r="1508" spans="1:21" ht="9.75" customHeight="1" x14ac:dyDescent="0.4">
      <c r="A1508" s="1"/>
      <c r="B1508" s="1"/>
      <c r="C1508" s="15" t="s">
        <v>197</v>
      </c>
      <c r="D1508" s="15" t="s">
        <v>300</v>
      </c>
      <c r="E1508" s="17">
        <v>3</v>
      </c>
      <c r="F1508" s="32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2</v>
      </c>
      <c r="N1508" s="6">
        <v>1</v>
      </c>
      <c r="O1508" s="31">
        <v>0</v>
      </c>
      <c r="P1508" s="32">
        <f t="shared" si="246"/>
        <v>0</v>
      </c>
      <c r="Q1508" s="6">
        <f t="shared" si="247"/>
        <v>3</v>
      </c>
      <c r="R1508" s="59">
        <f t="shared" si="248"/>
        <v>1</v>
      </c>
      <c r="S1508" s="1"/>
      <c r="T1508" s="1"/>
      <c r="U1508" s="1"/>
    </row>
    <row r="1509" spans="1:21" ht="9.75" customHeight="1" x14ac:dyDescent="0.4">
      <c r="A1509" s="1"/>
      <c r="B1509" s="1"/>
      <c r="C1509" s="17"/>
      <c r="D1509" s="17" t="s">
        <v>301</v>
      </c>
      <c r="E1509" s="17"/>
      <c r="F1509" s="32"/>
      <c r="G1509" s="6"/>
      <c r="H1509" s="6"/>
      <c r="I1509" s="6"/>
      <c r="J1509" s="6"/>
      <c r="K1509" s="6"/>
      <c r="L1509" s="6"/>
      <c r="M1509" s="6"/>
      <c r="N1509" s="6"/>
      <c r="O1509" s="31"/>
      <c r="P1509" s="32"/>
      <c r="Q1509" s="6"/>
      <c r="R1509" s="59"/>
      <c r="S1509" s="1"/>
      <c r="T1509" s="1"/>
      <c r="U1509" s="1"/>
    </row>
    <row r="1510" spans="1:21" ht="9.75" customHeight="1" x14ac:dyDescent="0.4">
      <c r="A1510" s="1"/>
      <c r="B1510" s="1"/>
      <c r="C1510" s="17"/>
      <c r="D1510" s="17" t="s">
        <v>303</v>
      </c>
      <c r="E1510" s="17"/>
      <c r="F1510" s="32"/>
      <c r="G1510" s="6"/>
      <c r="H1510" s="6"/>
      <c r="I1510" s="6"/>
      <c r="J1510" s="6"/>
      <c r="K1510" s="6"/>
      <c r="L1510" s="6"/>
      <c r="M1510" s="6"/>
      <c r="N1510" s="6"/>
      <c r="O1510" s="31"/>
      <c r="P1510" s="32"/>
      <c r="Q1510" s="6"/>
      <c r="R1510" s="59"/>
      <c r="S1510" s="1"/>
      <c r="T1510" s="1"/>
      <c r="U1510" s="1"/>
    </row>
    <row r="1511" spans="1:21" ht="9.75" customHeight="1" x14ac:dyDescent="0.4">
      <c r="A1511" s="1"/>
      <c r="B1511" s="1"/>
      <c r="C1511" s="17"/>
      <c r="D1511" s="17" t="s">
        <v>421</v>
      </c>
      <c r="E1511" s="17">
        <v>12</v>
      </c>
      <c r="F1511" s="32">
        <v>0</v>
      </c>
      <c r="G1511" s="6">
        <v>0</v>
      </c>
      <c r="H1511" s="6">
        <v>0</v>
      </c>
      <c r="I1511" s="6">
        <v>0</v>
      </c>
      <c r="J1511" s="6">
        <v>1</v>
      </c>
      <c r="K1511" s="6">
        <v>0</v>
      </c>
      <c r="L1511" s="6">
        <v>0</v>
      </c>
      <c r="M1511" s="6">
        <v>0</v>
      </c>
      <c r="N1511" s="6">
        <v>0</v>
      </c>
      <c r="O1511" s="31">
        <v>0</v>
      </c>
      <c r="P1511" s="32">
        <f>MIN(F1511:O1511)</f>
        <v>0</v>
      </c>
      <c r="Q1511" s="6">
        <f>E1511-P1511</f>
        <v>12</v>
      </c>
      <c r="R1511" s="59">
        <f>Q1511/E1511</f>
        <v>1</v>
      </c>
      <c r="S1511" s="1"/>
      <c r="T1511" s="1"/>
      <c r="U1511" s="1"/>
    </row>
    <row r="1512" spans="1:21" ht="9.75" customHeight="1" x14ac:dyDescent="0.4">
      <c r="A1512" s="1"/>
      <c r="B1512" s="1"/>
      <c r="C1512" s="17"/>
      <c r="D1512" s="17" t="s">
        <v>369</v>
      </c>
      <c r="E1512" s="17"/>
      <c r="F1512" s="32"/>
      <c r="G1512" s="6"/>
      <c r="H1512" s="6"/>
      <c r="I1512" s="6"/>
      <c r="J1512" s="6"/>
      <c r="K1512" s="6"/>
      <c r="L1512" s="6"/>
      <c r="M1512" s="6"/>
      <c r="N1512" s="6"/>
      <c r="O1512" s="31"/>
      <c r="P1512" s="32"/>
      <c r="Q1512" s="6"/>
      <c r="R1512" s="59"/>
      <c r="S1512" s="1"/>
      <c r="T1512" s="1"/>
      <c r="U1512" s="1"/>
    </row>
    <row r="1513" spans="1:21" ht="9.75" customHeight="1" x14ac:dyDescent="0.4">
      <c r="A1513" s="1"/>
      <c r="B1513" s="1"/>
      <c r="C1513" s="17"/>
      <c r="D1513" s="17" t="s">
        <v>308</v>
      </c>
      <c r="E1513" s="17"/>
      <c r="F1513" s="32"/>
      <c r="G1513" s="6"/>
      <c r="H1513" s="6"/>
      <c r="I1513" s="6"/>
      <c r="J1513" s="6"/>
      <c r="K1513" s="6"/>
      <c r="L1513" s="6"/>
      <c r="M1513" s="6"/>
      <c r="N1513" s="6"/>
      <c r="O1513" s="31"/>
      <c r="P1513" s="32"/>
      <c r="Q1513" s="6"/>
      <c r="R1513" s="59"/>
      <c r="S1513" s="1"/>
      <c r="T1513" s="1"/>
      <c r="U1513" s="1"/>
    </row>
    <row r="1514" spans="1:21" ht="9.75" customHeight="1" x14ac:dyDescent="0.4">
      <c r="A1514" s="1"/>
      <c r="B1514" s="1"/>
      <c r="C1514" s="17"/>
      <c r="D1514" s="17" t="s">
        <v>374</v>
      </c>
      <c r="E1514" s="17"/>
      <c r="F1514" s="32"/>
      <c r="G1514" s="6"/>
      <c r="H1514" s="6"/>
      <c r="I1514" s="6"/>
      <c r="J1514" s="6"/>
      <c r="K1514" s="6"/>
      <c r="L1514" s="6"/>
      <c r="M1514" s="6"/>
      <c r="N1514" s="6"/>
      <c r="O1514" s="31"/>
      <c r="P1514" s="32"/>
      <c r="Q1514" s="6"/>
      <c r="R1514" s="59"/>
      <c r="S1514" s="1"/>
      <c r="T1514" s="1"/>
      <c r="U1514" s="1"/>
    </row>
    <row r="1515" spans="1:21" ht="9.75" customHeight="1" x14ac:dyDescent="0.4">
      <c r="A1515" s="1"/>
      <c r="B1515" s="1"/>
      <c r="C1515" s="17"/>
      <c r="D1515" s="17" t="s">
        <v>374</v>
      </c>
      <c r="E1515" s="17"/>
      <c r="F1515" s="32"/>
      <c r="G1515" s="6"/>
      <c r="H1515" s="6"/>
      <c r="I1515" s="6"/>
      <c r="J1515" s="6"/>
      <c r="K1515" s="6"/>
      <c r="L1515" s="6"/>
      <c r="M1515" s="6"/>
      <c r="N1515" s="6"/>
      <c r="O1515" s="31"/>
      <c r="P1515" s="32"/>
      <c r="Q1515" s="6"/>
      <c r="R1515" s="59"/>
      <c r="S1515" s="1"/>
      <c r="T1515" s="1"/>
      <c r="U1515" s="1"/>
    </row>
    <row r="1516" spans="1:21" ht="9.75" customHeight="1" x14ac:dyDescent="0.4">
      <c r="A1516" s="1"/>
      <c r="B1516" s="1"/>
      <c r="C1516" s="17"/>
      <c r="D1516" s="17" t="s">
        <v>374</v>
      </c>
      <c r="E1516" s="17"/>
      <c r="F1516" s="32"/>
      <c r="G1516" s="6"/>
      <c r="H1516" s="6"/>
      <c r="I1516" s="6"/>
      <c r="J1516" s="6"/>
      <c r="K1516" s="6"/>
      <c r="L1516" s="6"/>
      <c r="M1516" s="6"/>
      <c r="N1516" s="6"/>
      <c r="O1516" s="31"/>
      <c r="P1516" s="32"/>
      <c r="Q1516" s="6"/>
      <c r="R1516" s="59"/>
      <c r="S1516" s="1"/>
      <c r="T1516" s="1"/>
      <c r="U1516" s="1"/>
    </row>
    <row r="1517" spans="1:21" ht="9.75" customHeight="1" x14ac:dyDescent="0.4">
      <c r="A1517" s="1"/>
      <c r="B1517" s="1"/>
      <c r="C1517" s="17"/>
      <c r="D1517" s="17" t="s">
        <v>374</v>
      </c>
      <c r="E1517" s="17"/>
      <c r="F1517" s="32"/>
      <c r="G1517" s="6"/>
      <c r="H1517" s="6"/>
      <c r="I1517" s="6"/>
      <c r="J1517" s="6"/>
      <c r="K1517" s="6"/>
      <c r="L1517" s="6"/>
      <c r="M1517" s="6"/>
      <c r="N1517" s="6"/>
      <c r="O1517" s="31"/>
      <c r="P1517" s="32"/>
      <c r="Q1517" s="6"/>
      <c r="R1517" s="59"/>
      <c r="S1517" s="1"/>
      <c r="T1517" s="1"/>
      <c r="U1517" s="1"/>
    </row>
    <row r="1518" spans="1:21" ht="9.75" customHeight="1" x14ac:dyDescent="0.4">
      <c r="A1518" s="1"/>
      <c r="B1518" s="1"/>
      <c r="C1518" s="17"/>
      <c r="D1518" s="17" t="s">
        <v>374</v>
      </c>
      <c r="E1518" s="17"/>
      <c r="F1518" s="32"/>
      <c r="G1518" s="6"/>
      <c r="H1518" s="6"/>
      <c r="I1518" s="6"/>
      <c r="J1518" s="6"/>
      <c r="K1518" s="6"/>
      <c r="L1518" s="6"/>
      <c r="M1518" s="6"/>
      <c r="N1518" s="6"/>
      <c r="O1518" s="31"/>
      <c r="P1518" s="32"/>
      <c r="Q1518" s="6"/>
      <c r="R1518" s="59"/>
      <c r="S1518" s="1"/>
      <c r="T1518" s="1"/>
      <c r="U1518" s="1"/>
    </row>
    <row r="1519" spans="1:21" ht="9.75" customHeight="1" x14ac:dyDescent="0.4">
      <c r="A1519" s="1"/>
      <c r="B1519" s="1"/>
      <c r="C1519" s="17"/>
      <c r="D1519" s="17" t="s">
        <v>374</v>
      </c>
      <c r="E1519" s="17"/>
      <c r="F1519" s="32"/>
      <c r="G1519" s="6"/>
      <c r="H1519" s="6"/>
      <c r="I1519" s="6"/>
      <c r="J1519" s="6"/>
      <c r="K1519" s="6"/>
      <c r="L1519" s="6"/>
      <c r="M1519" s="6"/>
      <c r="N1519" s="6"/>
      <c r="O1519" s="31"/>
      <c r="P1519" s="32"/>
      <c r="Q1519" s="6"/>
      <c r="R1519" s="59"/>
      <c r="S1519" s="1"/>
      <c r="T1519" s="1"/>
      <c r="U1519" s="1"/>
    </row>
    <row r="1520" spans="1:21" ht="9.75" customHeight="1" x14ac:dyDescent="0.4">
      <c r="A1520" s="1"/>
      <c r="B1520" s="1"/>
      <c r="C1520" s="17"/>
      <c r="D1520" s="17" t="s">
        <v>310</v>
      </c>
      <c r="E1520" s="17">
        <v>2</v>
      </c>
      <c r="F1520" s="32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31">
        <v>0</v>
      </c>
      <c r="P1520" s="32">
        <f t="shared" ref="P1520:P1522" si="249">MIN(F1520:O1520)</f>
        <v>0</v>
      </c>
      <c r="Q1520" s="6">
        <f t="shared" ref="Q1520:Q1522" si="250">E1520-P1520</f>
        <v>2</v>
      </c>
      <c r="R1520" s="59">
        <f t="shared" ref="R1520:R1522" si="251">Q1520/E1520</f>
        <v>1</v>
      </c>
      <c r="S1520" s="1"/>
      <c r="T1520" s="1"/>
      <c r="U1520" s="1"/>
    </row>
    <row r="1521" spans="1:21" ht="9.75" customHeight="1" x14ac:dyDescent="0.4">
      <c r="A1521" s="1"/>
      <c r="B1521" s="1"/>
      <c r="C1521" s="17"/>
      <c r="D1521" s="17" t="s">
        <v>311</v>
      </c>
      <c r="E1521" s="17">
        <v>2</v>
      </c>
      <c r="F1521" s="32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31">
        <v>0</v>
      </c>
      <c r="P1521" s="32">
        <f t="shared" si="249"/>
        <v>0</v>
      </c>
      <c r="Q1521" s="6">
        <f t="shared" si="250"/>
        <v>2</v>
      </c>
      <c r="R1521" s="59">
        <f t="shared" si="251"/>
        <v>1</v>
      </c>
      <c r="S1521" s="1"/>
      <c r="T1521" s="1"/>
      <c r="U1521" s="1"/>
    </row>
    <row r="1522" spans="1:21" ht="9.75" customHeight="1" x14ac:dyDescent="0.4">
      <c r="A1522" s="1"/>
      <c r="B1522" s="1"/>
      <c r="C1522" s="17"/>
      <c r="D1522" s="17" t="s">
        <v>312</v>
      </c>
      <c r="E1522" s="17">
        <v>1</v>
      </c>
      <c r="F1522" s="32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31">
        <v>0</v>
      </c>
      <c r="P1522" s="32">
        <f t="shared" si="249"/>
        <v>0</v>
      </c>
      <c r="Q1522" s="6">
        <f t="shared" si="250"/>
        <v>1</v>
      </c>
      <c r="R1522" s="59">
        <f t="shared" si="251"/>
        <v>1</v>
      </c>
      <c r="S1522" s="1"/>
      <c r="T1522" s="1"/>
      <c r="U1522" s="1"/>
    </row>
    <row r="1523" spans="1:21" ht="9.75" customHeight="1" x14ac:dyDescent="0.4">
      <c r="A1523" s="1"/>
      <c r="B1523" s="1"/>
      <c r="C1523" s="17"/>
      <c r="D1523" s="17" t="s">
        <v>313</v>
      </c>
      <c r="E1523" s="17"/>
      <c r="F1523" s="32"/>
      <c r="G1523" s="6"/>
      <c r="H1523" s="6"/>
      <c r="I1523" s="6"/>
      <c r="J1523" s="6"/>
      <c r="K1523" s="6"/>
      <c r="L1523" s="6"/>
      <c r="M1523" s="6"/>
      <c r="N1523" s="6"/>
      <c r="O1523" s="31"/>
      <c r="P1523" s="32"/>
      <c r="Q1523" s="6"/>
      <c r="R1523" s="59"/>
      <c r="S1523" s="1"/>
      <c r="T1523" s="1"/>
      <c r="U1523" s="1"/>
    </row>
    <row r="1524" spans="1:21" ht="9.75" customHeight="1" x14ac:dyDescent="0.4">
      <c r="A1524" s="1"/>
      <c r="B1524" s="1" t="s">
        <v>395</v>
      </c>
      <c r="C1524" s="34"/>
      <c r="D1524" s="65" t="s">
        <v>314</v>
      </c>
      <c r="E1524" s="65">
        <f t="shared" ref="E1524:O1524" si="252">SUM(E1508:E1523)</f>
        <v>20</v>
      </c>
      <c r="F1524" s="104">
        <f t="shared" si="252"/>
        <v>0</v>
      </c>
      <c r="G1524" s="128">
        <f t="shared" si="252"/>
        <v>0</v>
      </c>
      <c r="H1524" s="128">
        <f t="shared" si="252"/>
        <v>0</v>
      </c>
      <c r="I1524" s="128">
        <f t="shared" si="252"/>
        <v>0</v>
      </c>
      <c r="J1524" s="128">
        <f t="shared" si="252"/>
        <v>1</v>
      </c>
      <c r="K1524" s="128">
        <f t="shared" si="252"/>
        <v>0</v>
      </c>
      <c r="L1524" s="128">
        <f t="shared" si="252"/>
        <v>0</v>
      </c>
      <c r="M1524" s="128">
        <f t="shared" si="252"/>
        <v>2</v>
      </c>
      <c r="N1524" s="128">
        <f t="shared" si="252"/>
        <v>1</v>
      </c>
      <c r="O1524" s="129">
        <f t="shared" si="252"/>
        <v>0</v>
      </c>
      <c r="P1524" s="104">
        <f>MIN(F1524:O1524)</f>
        <v>0</v>
      </c>
      <c r="Q1524" s="128">
        <f>E1524-P1524</f>
        <v>20</v>
      </c>
      <c r="R1524" s="72">
        <f>Q1524/E1524</f>
        <v>1</v>
      </c>
      <c r="S1524" s="1"/>
      <c r="T1524" s="1"/>
      <c r="U1524" s="1"/>
    </row>
    <row r="1525" spans="1:21" ht="9.75" customHeight="1" x14ac:dyDescent="0.4">
      <c r="A1525" s="1"/>
      <c r="B1525" s="1"/>
      <c r="C1525" s="18" t="s">
        <v>58</v>
      </c>
      <c r="D1525" s="18" t="s">
        <v>300</v>
      </c>
      <c r="E1525" s="18"/>
      <c r="F1525" s="352"/>
      <c r="G1525" s="353"/>
      <c r="H1525" s="353"/>
      <c r="I1525" s="353"/>
      <c r="J1525" s="353"/>
      <c r="K1525" s="353"/>
      <c r="L1525" s="353"/>
      <c r="M1525" s="353"/>
      <c r="N1525" s="353"/>
      <c r="O1525" s="354"/>
      <c r="P1525" s="355"/>
      <c r="Q1525" s="353"/>
      <c r="R1525" s="356"/>
      <c r="S1525" s="1"/>
      <c r="T1525" s="1"/>
      <c r="U1525" s="1"/>
    </row>
    <row r="1526" spans="1:21" ht="9.75" customHeight="1" x14ac:dyDescent="0.4">
      <c r="A1526" s="1"/>
      <c r="B1526" s="1"/>
      <c r="C1526" s="17"/>
      <c r="D1526" s="357" t="s">
        <v>301</v>
      </c>
      <c r="E1526" s="357">
        <v>72</v>
      </c>
      <c r="F1526" s="358"/>
      <c r="G1526" s="359"/>
      <c r="H1526" s="359"/>
      <c r="I1526" s="359"/>
      <c r="J1526" s="359"/>
      <c r="K1526" s="359"/>
      <c r="L1526" s="359"/>
      <c r="M1526" s="359"/>
      <c r="N1526" s="359"/>
      <c r="O1526" s="360"/>
      <c r="P1526" s="361"/>
      <c r="Q1526" s="359"/>
      <c r="R1526" s="362"/>
      <c r="S1526" s="1"/>
      <c r="T1526" s="1"/>
      <c r="U1526" s="1"/>
    </row>
    <row r="1527" spans="1:21" ht="9.75" customHeight="1" x14ac:dyDescent="0.4">
      <c r="A1527" s="1"/>
      <c r="B1527" s="1"/>
      <c r="C1527" s="17"/>
      <c r="D1527" s="357" t="s">
        <v>303</v>
      </c>
      <c r="E1527" s="357"/>
      <c r="F1527" s="358"/>
      <c r="G1527" s="359"/>
      <c r="H1527" s="359"/>
      <c r="I1527" s="359"/>
      <c r="J1527" s="359"/>
      <c r="K1527" s="359"/>
      <c r="L1527" s="359"/>
      <c r="M1527" s="359"/>
      <c r="N1527" s="359"/>
      <c r="O1527" s="360"/>
      <c r="P1527" s="361"/>
      <c r="Q1527" s="359"/>
      <c r="R1527" s="362"/>
      <c r="S1527" s="1"/>
      <c r="T1527" s="1"/>
      <c r="U1527" s="1"/>
    </row>
    <row r="1528" spans="1:21" ht="9.75" customHeight="1" x14ac:dyDescent="0.4">
      <c r="A1528" s="1"/>
      <c r="B1528" s="1"/>
      <c r="C1528" s="17"/>
      <c r="D1528" s="357" t="s">
        <v>421</v>
      </c>
      <c r="E1528" s="357">
        <v>16</v>
      </c>
      <c r="F1528" s="358"/>
      <c r="G1528" s="359"/>
      <c r="H1528" s="359"/>
      <c r="I1528" s="359"/>
      <c r="J1528" s="359"/>
      <c r="K1528" s="359"/>
      <c r="L1528" s="359"/>
      <c r="M1528" s="359"/>
      <c r="N1528" s="359"/>
      <c r="O1528" s="360"/>
      <c r="P1528" s="361"/>
      <c r="Q1528" s="359"/>
      <c r="R1528" s="362"/>
      <c r="S1528" s="1"/>
      <c r="T1528" s="1"/>
      <c r="U1528" s="1"/>
    </row>
    <row r="1529" spans="1:21" ht="9.75" customHeight="1" x14ac:dyDescent="0.4">
      <c r="A1529" s="1"/>
      <c r="B1529" s="1"/>
      <c r="C1529" s="17"/>
      <c r="D1529" s="357" t="s">
        <v>369</v>
      </c>
      <c r="E1529" s="357"/>
      <c r="F1529" s="358"/>
      <c r="G1529" s="359"/>
      <c r="H1529" s="359"/>
      <c r="I1529" s="359"/>
      <c r="J1529" s="359"/>
      <c r="K1529" s="359"/>
      <c r="L1529" s="359"/>
      <c r="M1529" s="359"/>
      <c r="N1529" s="359"/>
      <c r="O1529" s="360"/>
      <c r="P1529" s="361"/>
      <c r="Q1529" s="359"/>
      <c r="R1529" s="362"/>
      <c r="S1529" s="1"/>
      <c r="T1529" s="1"/>
      <c r="U1529" s="1"/>
    </row>
    <row r="1530" spans="1:21" ht="9.75" customHeight="1" x14ac:dyDescent="0.4">
      <c r="A1530" s="1"/>
      <c r="B1530" s="1"/>
      <c r="C1530" s="17"/>
      <c r="D1530" s="357" t="s">
        <v>308</v>
      </c>
      <c r="E1530" s="357"/>
      <c r="F1530" s="358"/>
      <c r="G1530" s="359"/>
      <c r="H1530" s="359"/>
      <c r="I1530" s="359"/>
      <c r="J1530" s="359"/>
      <c r="K1530" s="359"/>
      <c r="L1530" s="359"/>
      <c r="M1530" s="359"/>
      <c r="N1530" s="359"/>
      <c r="O1530" s="360"/>
      <c r="P1530" s="361"/>
      <c r="Q1530" s="359"/>
      <c r="R1530" s="362"/>
      <c r="S1530" s="1"/>
      <c r="T1530" s="1"/>
      <c r="U1530" s="1"/>
    </row>
    <row r="1531" spans="1:21" ht="9.75" customHeight="1" x14ac:dyDescent="0.4">
      <c r="A1531" s="1"/>
      <c r="B1531" s="1"/>
      <c r="C1531" s="17"/>
      <c r="D1531" s="357" t="s">
        <v>462</v>
      </c>
      <c r="E1531" s="357">
        <v>1</v>
      </c>
      <c r="F1531" s="358"/>
      <c r="G1531" s="359"/>
      <c r="H1531" s="359"/>
      <c r="I1531" s="359"/>
      <c r="J1531" s="359"/>
      <c r="K1531" s="359"/>
      <c r="L1531" s="359"/>
      <c r="M1531" s="359"/>
      <c r="N1531" s="359"/>
      <c r="O1531" s="360"/>
      <c r="P1531" s="361"/>
      <c r="Q1531" s="359"/>
      <c r="R1531" s="362"/>
      <c r="S1531" s="1"/>
      <c r="T1531" s="1"/>
      <c r="U1531" s="1"/>
    </row>
    <row r="1532" spans="1:21" ht="9.75" customHeight="1" x14ac:dyDescent="0.4">
      <c r="A1532" s="1"/>
      <c r="B1532" s="1"/>
      <c r="C1532" s="17"/>
      <c r="D1532" s="357" t="s">
        <v>372</v>
      </c>
      <c r="E1532" s="357">
        <v>2</v>
      </c>
      <c r="F1532" s="358"/>
      <c r="G1532" s="359"/>
      <c r="H1532" s="359"/>
      <c r="I1532" s="359"/>
      <c r="J1532" s="359"/>
      <c r="K1532" s="359"/>
      <c r="L1532" s="359"/>
      <c r="M1532" s="359"/>
      <c r="N1532" s="359"/>
      <c r="O1532" s="360"/>
      <c r="P1532" s="361"/>
      <c r="Q1532" s="359"/>
      <c r="R1532" s="362"/>
      <c r="S1532" s="1"/>
      <c r="T1532" s="1"/>
      <c r="U1532" s="1"/>
    </row>
    <row r="1533" spans="1:21" ht="9.75" customHeight="1" x14ac:dyDescent="0.4">
      <c r="A1533" s="1"/>
      <c r="B1533" s="1"/>
      <c r="C1533" s="17"/>
      <c r="D1533" s="357" t="s">
        <v>463</v>
      </c>
      <c r="E1533" s="357">
        <v>4</v>
      </c>
      <c r="F1533" s="358"/>
      <c r="G1533" s="359"/>
      <c r="H1533" s="359"/>
      <c r="I1533" s="359"/>
      <c r="J1533" s="359"/>
      <c r="K1533" s="359"/>
      <c r="L1533" s="359"/>
      <c r="M1533" s="359"/>
      <c r="N1533" s="359"/>
      <c r="O1533" s="360"/>
      <c r="P1533" s="361"/>
      <c r="Q1533" s="359"/>
      <c r="R1533" s="362"/>
      <c r="S1533" s="1"/>
      <c r="T1533" s="1"/>
      <c r="U1533" s="1"/>
    </row>
    <row r="1534" spans="1:21" ht="9.75" customHeight="1" x14ac:dyDescent="0.4">
      <c r="A1534" s="1"/>
      <c r="B1534" s="1"/>
      <c r="C1534" s="17"/>
      <c r="D1534" s="357" t="s">
        <v>377</v>
      </c>
      <c r="E1534" s="357"/>
      <c r="F1534" s="358"/>
      <c r="G1534" s="359"/>
      <c r="H1534" s="359"/>
      <c r="I1534" s="359"/>
      <c r="J1534" s="359"/>
      <c r="K1534" s="359"/>
      <c r="L1534" s="359"/>
      <c r="M1534" s="359"/>
      <c r="N1534" s="359"/>
      <c r="O1534" s="360"/>
      <c r="P1534" s="361"/>
      <c r="Q1534" s="359"/>
      <c r="R1534" s="362"/>
      <c r="S1534" s="1"/>
      <c r="T1534" s="1"/>
      <c r="U1534" s="1"/>
    </row>
    <row r="1535" spans="1:21" ht="9.75" customHeight="1" x14ac:dyDescent="0.4">
      <c r="A1535" s="1"/>
      <c r="B1535" s="1"/>
      <c r="C1535" s="17"/>
      <c r="D1535" s="357" t="s">
        <v>377</v>
      </c>
      <c r="E1535" s="357"/>
      <c r="F1535" s="358"/>
      <c r="G1535" s="359"/>
      <c r="H1535" s="359"/>
      <c r="I1535" s="359"/>
      <c r="J1535" s="359"/>
      <c r="K1535" s="359"/>
      <c r="L1535" s="359"/>
      <c r="M1535" s="359"/>
      <c r="N1535" s="359"/>
      <c r="O1535" s="360"/>
      <c r="P1535" s="361"/>
      <c r="Q1535" s="359"/>
      <c r="R1535" s="362"/>
      <c r="S1535" s="1"/>
      <c r="T1535" s="1"/>
      <c r="U1535" s="1"/>
    </row>
    <row r="1536" spans="1:21" ht="9.75" customHeight="1" x14ac:dyDescent="0.4">
      <c r="A1536" s="1"/>
      <c r="B1536" s="1"/>
      <c r="C1536" s="17"/>
      <c r="D1536" s="357" t="s">
        <v>377</v>
      </c>
      <c r="E1536" s="357"/>
      <c r="F1536" s="358"/>
      <c r="G1536" s="359"/>
      <c r="H1536" s="359"/>
      <c r="I1536" s="359"/>
      <c r="J1536" s="359"/>
      <c r="K1536" s="359"/>
      <c r="L1536" s="359"/>
      <c r="M1536" s="359"/>
      <c r="N1536" s="359"/>
      <c r="O1536" s="360"/>
      <c r="P1536" s="361"/>
      <c r="Q1536" s="359"/>
      <c r="R1536" s="362"/>
      <c r="S1536" s="1"/>
      <c r="T1536" s="1"/>
      <c r="U1536" s="1"/>
    </row>
    <row r="1537" spans="1:21" ht="9.75" customHeight="1" x14ac:dyDescent="0.4">
      <c r="A1537" s="1"/>
      <c r="B1537" s="1"/>
      <c r="C1537" s="17"/>
      <c r="D1537" s="357" t="s">
        <v>310</v>
      </c>
      <c r="E1537" s="357">
        <v>9</v>
      </c>
      <c r="F1537" s="358"/>
      <c r="G1537" s="359"/>
      <c r="H1537" s="359"/>
      <c r="I1537" s="359"/>
      <c r="J1537" s="359"/>
      <c r="K1537" s="359"/>
      <c r="L1537" s="359"/>
      <c r="M1537" s="359"/>
      <c r="N1537" s="359"/>
      <c r="O1537" s="360"/>
      <c r="P1537" s="361"/>
      <c r="Q1537" s="359"/>
      <c r="R1537" s="362"/>
      <c r="S1537" s="1"/>
      <c r="T1537" s="1"/>
      <c r="U1537" s="1"/>
    </row>
    <row r="1538" spans="1:21" ht="9.75" customHeight="1" x14ac:dyDescent="0.4">
      <c r="A1538" s="1"/>
      <c r="B1538" s="1"/>
      <c r="C1538" s="17"/>
      <c r="D1538" s="357" t="s">
        <v>311</v>
      </c>
      <c r="E1538" s="357">
        <v>133</v>
      </c>
      <c r="F1538" s="358"/>
      <c r="G1538" s="359"/>
      <c r="H1538" s="359"/>
      <c r="I1538" s="359"/>
      <c r="J1538" s="359"/>
      <c r="K1538" s="359"/>
      <c r="L1538" s="359"/>
      <c r="M1538" s="359"/>
      <c r="N1538" s="359"/>
      <c r="O1538" s="360"/>
      <c r="P1538" s="361"/>
      <c r="Q1538" s="359"/>
      <c r="R1538" s="362"/>
      <c r="S1538" s="1"/>
      <c r="T1538" s="1"/>
      <c r="U1538" s="1"/>
    </row>
    <row r="1539" spans="1:21" ht="9.75" customHeight="1" x14ac:dyDescent="0.4">
      <c r="A1539" s="1"/>
      <c r="B1539" s="1"/>
      <c r="C1539" s="17"/>
      <c r="D1539" s="357" t="s">
        <v>312</v>
      </c>
      <c r="E1539" s="357">
        <v>8</v>
      </c>
      <c r="F1539" s="358"/>
      <c r="G1539" s="359"/>
      <c r="H1539" s="359"/>
      <c r="I1539" s="359"/>
      <c r="J1539" s="359"/>
      <c r="K1539" s="359"/>
      <c r="L1539" s="359"/>
      <c r="M1539" s="359"/>
      <c r="N1539" s="359"/>
      <c r="O1539" s="359"/>
      <c r="P1539" s="361"/>
      <c r="Q1539" s="359"/>
      <c r="R1539" s="362"/>
      <c r="S1539" s="1"/>
      <c r="T1539" s="1"/>
      <c r="U1539" s="1"/>
    </row>
    <row r="1540" spans="1:21" ht="9.75" customHeight="1" x14ac:dyDescent="0.4">
      <c r="A1540" s="1"/>
      <c r="B1540" s="1"/>
      <c r="C1540" s="17"/>
      <c r="D1540" s="357" t="s">
        <v>313</v>
      </c>
      <c r="E1540" s="357">
        <v>4</v>
      </c>
      <c r="F1540" s="358"/>
      <c r="G1540" s="359"/>
      <c r="H1540" s="359"/>
      <c r="I1540" s="359"/>
      <c r="J1540" s="359"/>
      <c r="K1540" s="359"/>
      <c r="L1540" s="359"/>
      <c r="M1540" s="359"/>
      <c r="N1540" s="359"/>
      <c r="O1540" s="360"/>
      <c r="P1540" s="361"/>
      <c r="Q1540" s="359"/>
      <c r="R1540" s="362"/>
      <c r="S1540" s="1"/>
      <c r="T1540" s="1"/>
      <c r="U1540" s="1"/>
    </row>
    <row r="1541" spans="1:21" ht="9.75" customHeight="1" x14ac:dyDescent="0.4">
      <c r="A1541" s="1"/>
      <c r="B1541" s="1" t="s">
        <v>395</v>
      </c>
      <c r="C1541" s="17"/>
      <c r="D1541" s="65" t="s">
        <v>314</v>
      </c>
      <c r="E1541" s="65">
        <f>SUM(E1525:E1540)</f>
        <v>249</v>
      </c>
      <c r="F1541" s="104"/>
      <c r="G1541" s="128"/>
      <c r="H1541" s="128"/>
      <c r="I1541" s="128"/>
      <c r="J1541" s="128"/>
      <c r="K1541" s="128"/>
      <c r="L1541" s="128"/>
      <c r="M1541" s="128"/>
      <c r="N1541" s="128"/>
      <c r="O1541" s="129"/>
      <c r="P1541" s="104"/>
      <c r="Q1541" s="128"/>
      <c r="R1541" s="72"/>
      <c r="S1541" s="1"/>
      <c r="T1541" s="1"/>
      <c r="U1541" s="1"/>
    </row>
    <row r="1542" spans="1:21" ht="9.75" customHeight="1" x14ac:dyDescent="0.4">
      <c r="A1542" s="1"/>
      <c r="B1542" s="1"/>
      <c r="C1542" s="73" t="s">
        <v>149</v>
      </c>
      <c r="D1542" s="15" t="s">
        <v>300</v>
      </c>
      <c r="E1542" s="15">
        <v>8</v>
      </c>
      <c r="F1542" s="363">
        <v>1</v>
      </c>
      <c r="G1542" s="108">
        <v>0</v>
      </c>
      <c r="H1542" s="108">
        <v>0</v>
      </c>
      <c r="I1542" s="108">
        <v>0</v>
      </c>
      <c r="J1542" s="108">
        <v>0</v>
      </c>
      <c r="K1542" s="108">
        <v>0</v>
      </c>
      <c r="L1542" s="108">
        <v>0</v>
      </c>
      <c r="M1542" s="108">
        <v>1</v>
      </c>
      <c r="N1542" s="108">
        <v>1</v>
      </c>
      <c r="O1542" s="109">
        <v>0</v>
      </c>
      <c r="P1542" s="73">
        <f>MIN(F1542:O1542)</f>
        <v>0</v>
      </c>
      <c r="Q1542" s="108">
        <f>E1542-P1542</f>
        <v>8</v>
      </c>
      <c r="R1542" s="188">
        <f>Q1542/E1542</f>
        <v>1</v>
      </c>
      <c r="S1542" s="1"/>
      <c r="T1542" s="1"/>
      <c r="U1542" s="1"/>
    </row>
    <row r="1543" spans="1:21" ht="9.75" customHeight="1" x14ac:dyDescent="0.4">
      <c r="A1543" s="1"/>
      <c r="B1543" s="1"/>
      <c r="C1543" s="17"/>
      <c r="D1543" s="17" t="s">
        <v>301</v>
      </c>
      <c r="E1543" s="17"/>
      <c r="F1543" s="350"/>
      <c r="G1543" s="364"/>
      <c r="H1543" s="364"/>
      <c r="I1543" s="364"/>
      <c r="J1543" s="364"/>
      <c r="K1543" s="364"/>
      <c r="L1543" s="364"/>
      <c r="M1543" s="364"/>
      <c r="N1543" s="364"/>
      <c r="O1543" s="364"/>
      <c r="P1543" s="32"/>
      <c r="Q1543" s="6"/>
      <c r="R1543" s="59"/>
      <c r="S1543" s="1"/>
      <c r="T1543" s="1"/>
      <c r="U1543" s="1"/>
    </row>
    <row r="1544" spans="1:21" ht="9.75" customHeight="1" x14ac:dyDescent="0.4">
      <c r="A1544" s="1"/>
      <c r="B1544" s="1"/>
      <c r="C1544" s="17"/>
      <c r="D1544" s="17" t="s">
        <v>303</v>
      </c>
      <c r="E1544" s="17"/>
      <c r="F1544" s="350"/>
      <c r="G1544" s="6"/>
      <c r="H1544" s="6"/>
      <c r="I1544" s="6"/>
      <c r="J1544" s="6"/>
      <c r="K1544" s="6"/>
      <c r="L1544" s="6"/>
      <c r="M1544" s="6"/>
      <c r="N1544" s="6"/>
      <c r="O1544" s="31"/>
      <c r="P1544" s="32"/>
      <c r="Q1544" s="6"/>
      <c r="R1544" s="59"/>
      <c r="S1544" s="1"/>
      <c r="T1544" s="1"/>
      <c r="U1544" s="1"/>
    </row>
    <row r="1545" spans="1:21" ht="9.75" customHeight="1" x14ac:dyDescent="0.4">
      <c r="A1545" s="1"/>
      <c r="B1545" s="1"/>
      <c r="C1545" s="17"/>
      <c r="D1545" s="17" t="s">
        <v>369</v>
      </c>
      <c r="E1545" s="17">
        <v>3</v>
      </c>
      <c r="F1545" s="350">
        <v>0</v>
      </c>
      <c r="G1545" s="6">
        <v>1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1</v>
      </c>
      <c r="N1545" s="6">
        <v>0</v>
      </c>
      <c r="O1545" s="31">
        <v>0</v>
      </c>
      <c r="P1545" s="32">
        <f>MIN(F1545:O1545)</f>
        <v>0</v>
      </c>
      <c r="Q1545" s="6">
        <f>E1545-P1545</f>
        <v>3</v>
      </c>
      <c r="R1545" s="59">
        <f>Q1545/E1545</f>
        <v>1</v>
      </c>
      <c r="S1545" s="1"/>
      <c r="T1545" s="1"/>
      <c r="U1545" s="1"/>
    </row>
    <row r="1546" spans="1:21" ht="9.75" customHeight="1" x14ac:dyDescent="0.4">
      <c r="A1546" s="1"/>
      <c r="B1546" s="1"/>
      <c r="C1546" s="17"/>
      <c r="D1546" s="17" t="s">
        <v>369</v>
      </c>
      <c r="E1546" s="17"/>
      <c r="F1546" s="350"/>
      <c r="G1546" s="6"/>
      <c r="H1546" s="6"/>
      <c r="I1546" s="6"/>
      <c r="J1546" s="6"/>
      <c r="K1546" s="6"/>
      <c r="L1546" s="6"/>
      <c r="M1546" s="6"/>
      <c r="N1546" s="6"/>
      <c r="O1546" s="31"/>
      <c r="P1546" s="32"/>
      <c r="Q1546" s="6"/>
      <c r="R1546" s="59"/>
      <c r="S1546" s="1"/>
      <c r="T1546" s="1"/>
      <c r="U1546" s="1"/>
    </row>
    <row r="1547" spans="1:21" ht="9.75" customHeight="1" x14ac:dyDescent="0.4">
      <c r="A1547" s="1"/>
      <c r="B1547" s="1"/>
      <c r="C1547" s="17"/>
      <c r="D1547" s="365" t="s">
        <v>308</v>
      </c>
      <c r="E1547" s="32">
        <v>11</v>
      </c>
      <c r="F1547" s="350">
        <v>7</v>
      </c>
      <c r="G1547" s="6">
        <v>7</v>
      </c>
      <c r="H1547" s="6">
        <v>4</v>
      </c>
      <c r="I1547" s="6">
        <v>1</v>
      </c>
      <c r="J1547" s="6">
        <v>1</v>
      </c>
      <c r="K1547" s="6">
        <v>2</v>
      </c>
      <c r="L1547" s="6">
        <v>0</v>
      </c>
      <c r="M1547" s="6">
        <v>2</v>
      </c>
      <c r="N1547" s="6">
        <v>3</v>
      </c>
      <c r="O1547" s="31">
        <v>2</v>
      </c>
      <c r="P1547" s="6">
        <f>MIN(F1547:O1547)</f>
        <v>0</v>
      </c>
      <c r="Q1547" s="6">
        <f>E1547-P1547</f>
        <v>11</v>
      </c>
      <c r="R1547" s="59">
        <f>Q1547/E1547</f>
        <v>1</v>
      </c>
      <c r="S1547" s="1"/>
      <c r="T1547" s="1"/>
      <c r="U1547" s="1"/>
    </row>
    <row r="1548" spans="1:21" ht="9.75" customHeight="1" x14ac:dyDescent="0.4">
      <c r="A1548" s="1"/>
      <c r="B1548" s="1"/>
      <c r="C1548" s="17"/>
      <c r="D1548" s="17" t="s">
        <v>374</v>
      </c>
      <c r="E1548" s="17"/>
      <c r="F1548" s="350"/>
      <c r="G1548" s="6"/>
      <c r="H1548" s="6"/>
      <c r="I1548" s="6"/>
      <c r="J1548" s="6"/>
      <c r="K1548" s="6"/>
      <c r="L1548" s="6"/>
      <c r="M1548" s="6"/>
      <c r="N1548" s="6"/>
      <c r="O1548" s="31"/>
      <c r="P1548" s="32"/>
      <c r="Q1548" s="6"/>
      <c r="R1548" s="59"/>
      <c r="S1548" s="1"/>
      <c r="T1548" s="1"/>
      <c r="U1548" s="1"/>
    </row>
    <row r="1549" spans="1:21" ht="9.75" customHeight="1" x14ac:dyDescent="0.4">
      <c r="A1549" s="1"/>
      <c r="B1549" s="1"/>
      <c r="C1549" s="17"/>
      <c r="D1549" s="17" t="s">
        <v>374</v>
      </c>
      <c r="E1549" s="17"/>
      <c r="F1549" s="350"/>
      <c r="G1549" s="6"/>
      <c r="H1549" s="6"/>
      <c r="I1549" s="6"/>
      <c r="J1549" s="6"/>
      <c r="K1549" s="6"/>
      <c r="L1549" s="6"/>
      <c r="M1549" s="6"/>
      <c r="N1549" s="6"/>
      <c r="O1549" s="31"/>
      <c r="P1549" s="32"/>
      <c r="Q1549" s="6"/>
      <c r="R1549" s="59"/>
      <c r="S1549" s="1"/>
      <c r="T1549" s="1"/>
      <c r="U1549" s="1"/>
    </row>
    <row r="1550" spans="1:21" ht="9.75" customHeight="1" x14ac:dyDescent="0.4">
      <c r="A1550" s="1"/>
      <c r="B1550" s="1"/>
      <c r="C1550" s="17"/>
      <c r="D1550" s="17" t="s">
        <v>374</v>
      </c>
      <c r="E1550" s="17"/>
      <c r="F1550" s="350"/>
      <c r="G1550" s="6"/>
      <c r="H1550" s="6"/>
      <c r="I1550" s="6"/>
      <c r="J1550" s="6"/>
      <c r="K1550" s="6"/>
      <c r="L1550" s="6"/>
      <c r="M1550" s="6"/>
      <c r="N1550" s="6"/>
      <c r="O1550" s="31"/>
      <c r="P1550" s="32"/>
      <c r="Q1550" s="6"/>
      <c r="R1550" s="59"/>
      <c r="S1550" s="1"/>
      <c r="T1550" s="1"/>
      <c r="U1550" s="1"/>
    </row>
    <row r="1551" spans="1:21" ht="9.75" customHeight="1" x14ac:dyDescent="0.4">
      <c r="A1551" s="1"/>
      <c r="B1551" s="1"/>
      <c r="C1551" s="17"/>
      <c r="D1551" s="17" t="s">
        <v>374</v>
      </c>
      <c r="E1551" s="17"/>
      <c r="F1551" s="350"/>
      <c r="G1551" s="6"/>
      <c r="H1551" s="6"/>
      <c r="I1551" s="6"/>
      <c r="J1551" s="6"/>
      <c r="K1551" s="6"/>
      <c r="L1551" s="6"/>
      <c r="M1551" s="6"/>
      <c r="N1551" s="6"/>
      <c r="O1551" s="31"/>
      <c r="P1551" s="32"/>
      <c r="Q1551" s="6"/>
      <c r="R1551" s="59"/>
      <c r="S1551" s="1"/>
      <c r="T1551" s="1"/>
      <c r="U1551" s="1"/>
    </row>
    <row r="1552" spans="1:21" ht="9.75" customHeight="1" x14ac:dyDescent="0.4">
      <c r="A1552" s="1"/>
      <c r="B1552" s="1"/>
      <c r="C1552" s="17"/>
      <c r="D1552" s="17" t="s">
        <v>374</v>
      </c>
      <c r="E1552" s="17"/>
      <c r="F1552" s="350"/>
      <c r="G1552" s="6"/>
      <c r="H1552" s="6"/>
      <c r="I1552" s="6"/>
      <c r="J1552" s="6"/>
      <c r="K1552" s="6"/>
      <c r="L1552" s="6"/>
      <c r="M1552" s="6"/>
      <c r="N1552" s="6"/>
      <c r="O1552" s="31"/>
      <c r="P1552" s="32"/>
      <c r="Q1552" s="6"/>
      <c r="R1552" s="59"/>
      <c r="S1552" s="1"/>
      <c r="T1552" s="1"/>
      <c r="U1552" s="1"/>
    </row>
    <row r="1553" spans="1:21" ht="9.75" customHeight="1" x14ac:dyDescent="0.4">
      <c r="A1553" s="1"/>
      <c r="B1553" s="1"/>
      <c r="C1553" s="17"/>
      <c r="D1553" s="17" t="s">
        <v>374</v>
      </c>
      <c r="E1553" s="17"/>
      <c r="F1553" s="350"/>
      <c r="G1553" s="6"/>
      <c r="H1553" s="6"/>
      <c r="I1553" s="6"/>
      <c r="J1553" s="6"/>
      <c r="K1553" s="6"/>
      <c r="L1553" s="6"/>
      <c r="M1553" s="6"/>
      <c r="N1553" s="6"/>
      <c r="O1553" s="31"/>
      <c r="P1553" s="32"/>
      <c r="Q1553" s="6"/>
      <c r="R1553" s="59"/>
      <c r="S1553" s="1"/>
      <c r="T1553" s="1"/>
      <c r="U1553" s="1"/>
    </row>
    <row r="1554" spans="1:21" ht="9.75" customHeight="1" x14ac:dyDescent="0.4">
      <c r="A1554" s="1"/>
      <c r="B1554" s="1"/>
      <c r="C1554" s="17"/>
      <c r="D1554" s="17" t="s">
        <v>310</v>
      </c>
      <c r="E1554" s="17">
        <v>10</v>
      </c>
      <c r="F1554" s="350">
        <v>8</v>
      </c>
      <c r="G1554" s="6">
        <v>6</v>
      </c>
      <c r="H1554" s="6">
        <v>6</v>
      </c>
      <c r="I1554" s="6">
        <v>6</v>
      </c>
      <c r="J1554" s="6">
        <v>3</v>
      </c>
      <c r="K1554" s="6">
        <v>5</v>
      </c>
      <c r="L1554" s="6">
        <v>4</v>
      </c>
      <c r="M1554" s="6">
        <v>4</v>
      </c>
      <c r="N1554" s="6">
        <v>4</v>
      </c>
      <c r="O1554" s="31">
        <v>3</v>
      </c>
      <c r="P1554" s="32">
        <f>MIN(F1554:O1554)</f>
        <v>3</v>
      </c>
      <c r="Q1554" s="6">
        <f>E1554-P1554</f>
        <v>7</v>
      </c>
      <c r="R1554" s="59">
        <f>Q1554/E1554</f>
        <v>0.7</v>
      </c>
      <c r="S1554" s="1"/>
      <c r="T1554" s="1"/>
      <c r="U1554" s="1"/>
    </row>
    <row r="1555" spans="1:21" ht="9.75" customHeight="1" x14ac:dyDescent="0.4">
      <c r="A1555" s="1"/>
      <c r="B1555" s="1"/>
      <c r="C1555" s="17"/>
      <c r="D1555" s="17" t="s">
        <v>311</v>
      </c>
      <c r="E1555" s="17"/>
      <c r="F1555" s="350"/>
      <c r="G1555" s="6"/>
      <c r="H1555" s="6"/>
      <c r="I1555" s="6"/>
      <c r="J1555" s="6"/>
      <c r="K1555" s="6"/>
      <c r="L1555" s="6"/>
      <c r="M1555" s="6"/>
      <c r="N1555" s="6"/>
      <c r="O1555" s="31"/>
      <c r="P1555" s="32"/>
      <c r="Q1555" s="6"/>
      <c r="R1555" s="59"/>
      <c r="S1555" s="1"/>
      <c r="T1555" s="1"/>
      <c r="U1555" s="1"/>
    </row>
    <row r="1556" spans="1:21" ht="9.75" customHeight="1" x14ac:dyDescent="0.4">
      <c r="A1556" s="1"/>
      <c r="B1556" s="1"/>
      <c r="C1556" s="17"/>
      <c r="D1556" s="17" t="s">
        <v>312</v>
      </c>
      <c r="E1556" s="17"/>
      <c r="F1556" s="350"/>
      <c r="G1556" s="6"/>
      <c r="H1556" s="6"/>
      <c r="I1556" s="6"/>
      <c r="J1556" s="6"/>
      <c r="K1556" s="6"/>
      <c r="L1556" s="6"/>
      <c r="M1556" s="6"/>
      <c r="N1556" s="6"/>
      <c r="O1556" s="31"/>
      <c r="P1556" s="32"/>
      <c r="Q1556" s="6"/>
      <c r="R1556" s="59"/>
      <c r="S1556" s="1"/>
      <c r="T1556" s="1"/>
      <c r="U1556" s="1"/>
    </row>
    <row r="1557" spans="1:21" ht="9.75" customHeight="1" x14ac:dyDescent="0.4">
      <c r="A1557" s="1"/>
      <c r="B1557" s="1"/>
      <c r="C1557" s="17"/>
      <c r="D1557" s="17" t="s">
        <v>313</v>
      </c>
      <c r="E1557" s="17">
        <v>3</v>
      </c>
      <c r="F1557" s="350">
        <v>1</v>
      </c>
      <c r="G1557" s="6">
        <v>0</v>
      </c>
      <c r="H1557" s="6">
        <v>2</v>
      </c>
      <c r="I1557" s="6">
        <v>0</v>
      </c>
      <c r="J1557" s="6">
        <v>0</v>
      </c>
      <c r="K1557" s="6">
        <v>0</v>
      </c>
      <c r="L1557" s="6">
        <v>1</v>
      </c>
      <c r="M1557" s="6">
        <v>1</v>
      </c>
      <c r="N1557" s="6">
        <v>1</v>
      </c>
      <c r="O1557" s="31">
        <v>0</v>
      </c>
      <c r="P1557" s="32">
        <f t="shared" ref="P1557:P1558" si="253">MIN(F1557:O1557)</f>
        <v>0</v>
      </c>
      <c r="Q1557" s="6">
        <f t="shared" ref="Q1557:Q1558" si="254">E1557-P1557</f>
        <v>3</v>
      </c>
      <c r="R1557" s="59">
        <f t="shared" ref="R1557:R1558" si="255">Q1557/E1557</f>
        <v>1</v>
      </c>
      <c r="S1557" s="1"/>
      <c r="T1557" s="1"/>
      <c r="U1557" s="1"/>
    </row>
    <row r="1558" spans="1:21" ht="9.75" customHeight="1" x14ac:dyDescent="0.4">
      <c r="A1558" s="1"/>
      <c r="B1558" s="1" t="s">
        <v>395</v>
      </c>
      <c r="C1558" s="34"/>
      <c r="D1558" s="65" t="s">
        <v>314</v>
      </c>
      <c r="E1558" s="65">
        <f t="shared" ref="E1558:O1558" si="256">SUM(E1542:E1557)</f>
        <v>35</v>
      </c>
      <c r="F1558" s="104">
        <f t="shared" si="256"/>
        <v>17</v>
      </c>
      <c r="G1558" s="128">
        <f t="shared" si="256"/>
        <v>14</v>
      </c>
      <c r="H1558" s="128">
        <f t="shared" si="256"/>
        <v>12</v>
      </c>
      <c r="I1558" s="128">
        <f t="shared" si="256"/>
        <v>7</v>
      </c>
      <c r="J1558" s="128">
        <f t="shared" si="256"/>
        <v>4</v>
      </c>
      <c r="K1558" s="128">
        <f t="shared" si="256"/>
        <v>7</v>
      </c>
      <c r="L1558" s="128">
        <f t="shared" si="256"/>
        <v>5</v>
      </c>
      <c r="M1558" s="128">
        <f t="shared" si="256"/>
        <v>9</v>
      </c>
      <c r="N1558" s="128">
        <f t="shared" si="256"/>
        <v>9</v>
      </c>
      <c r="O1558" s="129">
        <f t="shared" si="256"/>
        <v>5</v>
      </c>
      <c r="P1558" s="104">
        <f t="shared" si="253"/>
        <v>4</v>
      </c>
      <c r="Q1558" s="128">
        <f t="shared" si="254"/>
        <v>31</v>
      </c>
      <c r="R1558" s="72">
        <f t="shared" si="255"/>
        <v>0.88571428571428568</v>
      </c>
      <c r="S1558" s="1"/>
      <c r="T1558" s="1"/>
      <c r="U1558" s="1"/>
    </row>
    <row r="1559" spans="1:21" ht="9.75" customHeight="1" x14ac:dyDescent="0.4">
      <c r="A1559" s="1"/>
      <c r="B1559" s="1"/>
      <c r="C1559" s="15" t="s">
        <v>163</v>
      </c>
      <c r="D1559" s="15" t="s">
        <v>300</v>
      </c>
      <c r="E1559" s="15"/>
      <c r="F1559" s="363"/>
      <c r="G1559" s="108"/>
      <c r="H1559" s="108"/>
      <c r="I1559" s="108"/>
      <c r="J1559" s="108"/>
      <c r="K1559" s="108"/>
      <c r="L1559" s="108"/>
      <c r="M1559" s="108"/>
      <c r="N1559" s="108"/>
      <c r="O1559" s="109"/>
      <c r="P1559" s="73"/>
      <c r="Q1559" s="108"/>
      <c r="R1559" s="188"/>
      <c r="S1559" s="1"/>
      <c r="T1559" s="1"/>
      <c r="U1559" s="1"/>
    </row>
    <row r="1560" spans="1:21" ht="9.75" customHeight="1" x14ac:dyDescent="0.4">
      <c r="A1560" s="1"/>
      <c r="B1560" s="1"/>
      <c r="C1560" s="17"/>
      <c r="D1560" s="17" t="s">
        <v>301</v>
      </c>
      <c r="E1560" s="17"/>
      <c r="F1560" s="350"/>
      <c r="G1560" s="6"/>
      <c r="H1560" s="6"/>
      <c r="I1560" s="6"/>
      <c r="J1560" s="6"/>
      <c r="K1560" s="6"/>
      <c r="L1560" s="6"/>
      <c r="M1560" s="6"/>
      <c r="N1560" s="6"/>
      <c r="O1560" s="31"/>
      <c r="P1560" s="32"/>
      <c r="Q1560" s="6"/>
      <c r="R1560" s="59"/>
      <c r="S1560" s="1"/>
      <c r="T1560" s="1"/>
      <c r="U1560" s="1"/>
    </row>
    <row r="1561" spans="1:21" ht="9.75" customHeight="1" x14ac:dyDescent="0.4">
      <c r="A1561" s="1"/>
      <c r="B1561" s="1"/>
      <c r="C1561" s="17"/>
      <c r="D1561" s="17" t="s">
        <v>303</v>
      </c>
      <c r="E1561" s="17"/>
      <c r="F1561" s="350"/>
      <c r="G1561" s="6"/>
      <c r="H1561" s="6"/>
      <c r="I1561" s="6"/>
      <c r="J1561" s="6"/>
      <c r="K1561" s="6"/>
      <c r="L1561" s="6"/>
      <c r="M1561" s="6"/>
      <c r="N1561" s="6"/>
      <c r="O1561" s="31"/>
      <c r="P1561" s="32"/>
      <c r="Q1561" s="6"/>
      <c r="R1561" s="59"/>
      <c r="S1561" s="1"/>
      <c r="T1561" s="1"/>
      <c r="U1561" s="1"/>
    </row>
    <row r="1562" spans="1:21" ht="9.75" customHeight="1" x14ac:dyDescent="0.4">
      <c r="A1562" s="1"/>
      <c r="B1562" s="1"/>
      <c r="C1562" s="17"/>
      <c r="D1562" s="17" t="s">
        <v>369</v>
      </c>
      <c r="E1562" s="17"/>
      <c r="F1562" s="350"/>
      <c r="G1562" s="6"/>
      <c r="H1562" s="6"/>
      <c r="I1562" s="6"/>
      <c r="J1562" s="6"/>
      <c r="K1562" s="6"/>
      <c r="L1562" s="6"/>
      <c r="M1562" s="6"/>
      <c r="N1562" s="6"/>
      <c r="O1562" s="31"/>
      <c r="P1562" s="32"/>
      <c r="Q1562" s="6"/>
      <c r="R1562" s="59"/>
      <c r="S1562" s="1"/>
      <c r="T1562" s="1"/>
      <c r="U1562" s="1"/>
    </row>
    <row r="1563" spans="1:21" ht="9.75" customHeight="1" x14ac:dyDescent="0.4">
      <c r="A1563" s="1"/>
      <c r="B1563" s="1"/>
      <c r="C1563" s="17"/>
      <c r="D1563" s="17" t="s">
        <v>369</v>
      </c>
      <c r="E1563" s="17"/>
      <c r="F1563" s="350"/>
      <c r="G1563" s="6"/>
      <c r="H1563" s="6"/>
      <c r="I1563" s="6"/>
      <c r="J1563" s="6"/>
      <c r="K1563" s="6"/>
      <c r="L1563" s="6"/>
      <c r="M1563" s="6"/>
      <c r="N1563" s="6"/>
      <c r="O1563" s="31"/>
      <c r="P1563" s="32"/>
      <c r="Q1563" s="6"/>
      <c r="R1563" s="59"/>
      <c r="S1563" s="1"/>
      <c r="T1563" s="1"/>
      <c r="U1563" s="1"/>
    </row>
    <row r="1564" spans="1:21" ht="9.75" customHeight="1" x14ac:dyDescent="0.4">
      <c r="A1564" s="1"/>
      <c r="B1564" s="1"/>
      <c r="C1564" s="17"/>
      <c r="D1564" s="17" t="s">
        <v>308</v>
      </c>
      <c r="E1564" s="17">
        <v>1</v>
      </c>
      <c r="F1564" s="350">
        <v>1</v>
      </c>
      <c r="G1564" s="6">
        <v>1</v>
      </c>
      <c r="H1564" s="6">
        <v>1</v>
      </c>
      <c r="I1564" s="6">
        <v>1</v>
      </c>
      <c r="J1564" s="6">
        <v>1</v>
      </c>
      <c r="K1564" s="6">
        <v>1</v>
      </c>
      <c r="L1564" s="6">
        <v>1</v>
      </c>
      <c r="M1564" s="6">
        <v>1</v>
      </c>
      <c r="N1564" s="6">
        <v>1</v>
      </c>
      <c r="O1564" s="31">
        <v>1</v>
      </c>
      <c r="P1564" s="32">
        <f>MIN(F1564:O1564)</f>
        <v>1</v>
      </c>
      <c r="Q1564" s="6">
        <f>E1564-P1564</f>
        <v>0</v>
      </c>
      <c r="R1564" s="59">
        <f>Q1564/E1564</f>
        <v>0</v>
      </c>
      <c r="S1564" s="1"/>
      <c r="T1564" s="1"/>
      <c r="U1564" s="1"/>
    </row>
    <row r="1565" spans="1:21" ht="9.75" customHeight="1" x14ac:dyDescent="0.4">
      <c r="A1565" s="1"/>
      <c r="B1565" s="1"/>
      <c r="C1565" s="17"/>
      <c r="D1565" s="17" t="s">
        <v>374</v>
      </c>
      <c r="E1565" s="17"/>
      <c r="F1565" s="350"/>
      <c r="G1565" s="6"/>
      <c r="H1565" s="6"/>
      <c r="I1565" s="6"/>
      <c r="J1565" s="6"/>
      <c r="K1565" s="6"/>
      <c r="L1565" s="6"/>
      <c r="M1565" s="6"/>
      <c r="N1565" s="6"/>
      <c r="O1565" s="31"/>
      <c r="P1565" s="32"/>
      <c r="Q1565" s="6"/>
      <c r="R1565" s="59"/>
      <c r="S1565" s="1"/>
      <c r="T1565" s="1"/>
      <c r="U1565" s="1"/>
    </row>
    <row r="1566" spans="1:21" ht="9.75" customHeight="1" x14ac:dyDescent="0.4">
      <c r="A1566" s="1"/>
      <c r="B1566" s="1"/>
      <c r="C1566" s="17"/>
      <c r="D1566" s="17" t="s">
        <v>374</v>
      </c>
      <c r="E1566" s="17"/>
      <c r="F1566" s="350"/>
      <c r="G1566" s="6"/>
      <c r="H1566" s="6"/>
      <c r="I1566" s="6"/>
      <c r="J1566" s="6"/>
      <c r="K1566" s="6"/>
      <c r="L1566" s="6"/>
      <c r="M1566" s="6"/>
      <c r="N1566" s="6"/>
      <c r="O1566" s="31"/>
      <c r="P1566" s="32"/>
      <c r="Q1566" s="6"/>
      <c r="R1566" s="59"/>
      <c r="S1566" s="1"/>
      <c r="T1566" s="1"/>
      <c r="U1566" s="1"/>
    </row>
    <row r="1567" spans="1:21" ht="9.75" customHeight="1" x14ac:dyDescent="0.4">
      <c r="A1567" s="1"/>
      <c r="B1567" s="1"/>
      <c r="C1567" s="17"/>
      <c r="D1567" s="17" t="s">
        <v>374</v>
      </c>
      <c r="E1567" s="17"/>
      <c r="F1567" s="350"/>
      <c r="G1567" s="6"/>
      <c r="H1567" s="6"/>
      <c r="I1567" s="6"/>
      <c r="J1567" s="6"/>
      <c r="K1567" s="6"/>
      <c r="L1567" s="6"/>
      <c r="M1567" s="6"/>
      <c r="N1567" s="6"/>
      <c r="O1567" s="31"/>
      <c r="P1567" s="32"/>
      <c r="Q1567" s="6"/>
      <c r="R1567" s="59"/>
      <c r="S1567" s="1"/>
      <c r="T1567" s="1"/>
      <c r="U1567" s="1"/>
    </row>
    <row r="1568" spans="1:21" ht="9.75" customHeight="1" x14ac:dyDescent="0.4">
      <c r="A1568" s="1"/>
      <c r="B1568" s="1"/>
      <c r="C1568" s="17"/>
      <c r="D1568" s="17" t="s">
        <v>374</v>
      </c>
      <c r="E1568" s="17"/>
      <c r="F1568" s="350"/>
      <c r="G1568" s="6"/>
      <c r="H1568" s="6"/>
      <c r="I1568" s="6"/>
      <c r="J1568" s="6"/>
      <c r="K1568" s="6"/>
      <c r="L1568" s="6"/>
      <c r="M1568" s="6"/>
      <c r="N1568" s="6"/>
      <c r="O1568" s="31"/>
      <c r="P1568" s="32"/>
      <c r="Q1568" s="6"/>
      <c r="R1568" s="59"/>
      <c r="S1568" s="1"/>
      <c r="T1568" s="1"/>
      <c r="U1568" s="1"/>
    </row>
    <row r="1569" spans="1:21" ht="9.75" customHeight="1" x14ac:dyDescent="0.4">
      <c r="A1569" s="1"/>
      <c r="B1569" s="1"/>
      <c r="C1569" s="17"/>
      <c r="D1569" s="17" t="s">
        <v>374</v>
      </c>
      <c r="E1569" s="17"/>
      <c r="F1569" s="350"/>
      <c r="G1569" s="6"/>
      <c r="H1569" s="6"/>
      <c r="I1569" s="6"/>
      <c r="J1569" s="6"/>
      <c r="K1569" s="6"/>
      <c r="L1569" s="6"/>
      <c r="M1569" s="6"/>
      <c r="N1569" s="6"/>
      <c r="O1569" s="31"/>
      <c r="P1569" s="32"/>
      <c r="Q1569" s="6"/>
      <c r="R1569" s="59"/>
      <c r="S1569" s="1"/>
      <c r="T1569" s="1"/>
      <c r="U1569" s="1"/>
    </row>
    <row r="1570" spans="1:21" ht="9.75" customHeight="1" x14ac:dyDescent="0.4">
      <c r="A1570" s="1"/>
      <c r="B1570" s="1"/>
      <c r="C1570" s="17"/>
      <c r="D1570" s="17" t="s">
        <v>374</v>
      </c>
      <c r="E1570" s="17"/>
      <c r="F1570" s="350"/>
      <c r="G1570" s="6"/>
      <c r="H1570" s="6"/>
      <c r="I1570" s="6"/>
      <c r="J1570" s="6"/>
      <c r="K1570" s="6"/>
      <c r="L1570" s="6"/>
      <c r="M1570" s="6"/>
      <c r="N1570" s="6"/>
      <c r="O1570" s="31"/>
      <c r="P1570" s="32"/>
      <c r="Q1570" s="6"/>
      <c r="R1570" s="59"/>
      <c r="S1570" s="1"/>
      <c r="T1570" s="1"/>
      <c r="U1570" s="1"/>
    </row>
    <row r="1571" spans="1:21" ht="9.75" customHeight="1" x14ac:dyDescent="0.4">
      <c r="A1571" s="1"/>
      <c r="B1571" s="1"/>
      <c r="C1571" s="17"/>
      <c r="D1571" s="17" t="s">
        <v>310</v>
      </c>
      <c r="E1571" s="17"/>
      <c r="F1571" s="350"/>
      <c r="G1571" s="6"/>
      <c r="H1571" s="6"/>
      <c r="I1571" s="6"/>
      <c r="J1571" s="6"/>
      <c r="K1571" s="6"/>
      <c r="L1571" s="6"/>
      <c r="M1571" s="6"/>
      <c r="N1571" s="6"/>
      <c r="O1571" s="31"/>
      <c r="P1571" s="32"/>
      <c r="Q1571" s="6"/>
      <c r="R1571" s="59"/>
      <c r="S1571" s="1"/>
      <c r="T1571" s="1"/>
      <c r="U1571" s="1"/>
    </row>
    <row r="1572" spans="1:21" ht="9.75" customHeight="1" x14ac:dyDescent="0.4">
      <c r="A1572" s="1"/>
      <c r="B1572" s="1"/>
      <c r="C1572" s="17"/>
      <c r="D1572" s="17" t="s">
        <v>311</v>
      </c>
      <c r="E1572" s="17"/>
      <c r="F1572" s="350"/>
      <c r="G1572" s="6"/>
      <c r="H1572" s="6"/>
      <c r="I1572" s="6"/>
      <c r="J1572" s="6"/>
      <c r="K1572" s="6"/>
      <c r="L1572" s="6"/>
      <c r="M1572" s="6"/>
      <c r="N1572" s="6"/>
      <c r="O1572" s="31"/>
      <c r="P1572" s="32"/>
      <c r="Q1572" s="6"/>
      <c r="R1572" s="59"/>
      <c r="S1572" s="1"/>
      <c r="T1572" s="1"/>
      <c r="U1572" s="1"/>
    </row>
    <row r="1573" spans="1:21" ht="9.75" customHeight="1" x14ac:dyDescent="0.4">
      <c r="A1573" s="1"/>
      <c r="B1573" s="1"/>
      <c r="C1573" s="17"/>
      <c r="D1573" s="17" t="s">
        <v>312</v>
      </c>
      <c r="E1573" s="17">
        <v>4</v>
      </c>
      <c r="F1573" s="350">
        <v>3</v>
      </c>
      <c r="G1573" s="6">
        <v>2</v>
      </c>
      <c r="H1573" s="6">
        <v>1</v>
      </c>
      <c r="I1573" s="6">
        <v>1</v>
      </c>
      <c r="J1573" s="6">
        <v>3</v>
      </c>
      <c r="K1573" s="6">
        <v>3</v>
      </c>
      <c r="L1573" s="6">
        <v>3</v>
      </c>
      <c r="M1573" s="6">
        <v>3</v>
      </c>
      <c r="N1573" s="6">
        <v>3</v>
      </c>
      <c r="O1573" s="31">
        <v>3</v>
      </c>
      <c r="P1573" s="32">
        <f>MIN(F1573:O1573)</f>
        <v>1</v>
      </c>
      <c r="Q1573" s="6">
        <f>E1573-P1573</f>
        <v>3</v>
      </c>
      <c r="R1573" s="59">
        <f>Q1573/E1573</f>
        <v>0.75</v>
      </c>
      <c r="S1573" s="1"/>
      <c r="T1573" s="1"/>
      <c r="U1573" s="1"/>
    </row>
    <row r="1574" spans="1:21" ht="9.75" customHeight="1" x14ac:dyDescent="0.4">
      <c r="A1574" s="1"/>
      <c r="B1574" s="1"/>
      <c r="C1574" s="17"/>
      <c r="D1574" s="17" t="s">
        <v>464</v>
      </c>
      <c r="E1574" s="17"/>
      <c r="F1574" s="350"/>
      <c r="G1574" s="6"/>
      <c r="H1574" s="6"/>
      <c r="I1574" s="6"/>
      <c r="J1574" s="6"/>
      <c r="K1574" s="6"/>
      <c r="L1574" s="6"/>
      <c r="M1574" s="6"/>
      <c r="N1574" s="6"/>
      <c r="O1574" s="31"/>
      <c r="P1574" s="32"/>
      <c r="Q1574" s="6"/>
      <c r="R1574" s="59"/>
      <c r="S1574" s="1"/>
      <c r="T1574" s="1"/>
      <c r="U1574" s="1"/>
    </row>
    <row r="1575" spans="1:21" ht="9.75" customHeight="1" x14ac:dyDescent="0.4">
      <c r="A1575" s="1"/>
      <c r="B1575" s="1" t="s">
        <v>395</v>
      </c>
      <c r="C1575" s="34"/>
      <c r="D1575" s="65" t="s">
        <v>314</v>
      </c>
      <c r="E1575" s="65">
        <f t="shared" ref="E1575:O1575" si="257">SUM(E1559:E1574)</f>
        <v>5</v>
      </c>
      <c r="F1575" s="104">
        <f t="shared" si="257"/>
        <v>4</v>
      </c>
      <c r="G1575" s="128">
        <f t="shared" si="257"/>
        <v>3</v>
      </c>
      <c r="H1575" s="128">
        <f t="shared" si="257"/>
        <v>2</v>
      </c>
      <c r="I1575" s="128">
        <f t="shared" si="257"/>
        <v>2</v>
      </c>
      <c r="J1575" s="128">
        <f t="shared" si="257"/>
        <v>4</v>
      </c>
      <c r="K1575" s="128">
        <f t="shared" si="257"/>
        <v>4</v>
      </c>
      <c r="L1575" s="128">
        <f t="shared" si="257"/>
        <v>4</v>
      </c>
      <c r="M1575" s="128">
        <f t="shared" si="257"/>
        <v>4</v>
      </c>
      <c r="N1575" s="128">
        <f t="shared" si="257"/>
        <v>4</v>
      </c>
      <c r="O1575" s="129">
        <f t="shared" si="257"/>
        <v>4</v>
      </c>
      <c r="P1575" s="104">
        <f t="shared" ref="P1575:P1577" si="258">MIN(F1575:O1575)</f>
        <v>2</v>
      </c>
      <c r="Q1575" s="128">
        <f t="shared" ref="Q1575:Q1577" si="259">E1575-P1575</f>
        <v>3</v>
      </c>
      <c r="R1575" s="72">
        <f t="shared" ref="R1575:R1577" si="260">Q1575/E1575</f>
        <v>0.6</v>
      </c>
      <c r="S1575" s="1"/>
      <c r="T1575" s="1"/>
      <c r="U1575" s="1"/>
    </row>
    <row r="1576" spans="1:21" ht="9.75" customHeight="1" x14ac:dyDescent="0.4">
      <c r="A1576" s="1"/>
      <c r="B1576" s="1"/>
      <c r="C1576" s="15" t="s">
        <v>79</v>
      </c>
      <c r="D1576" s="15" t="s">
        <v>300</v>
      </c>
      <c r="E1576" s="17">
        <v>23</v>
      </c>
      <c r="F1576" s="350">
        <v>1</v>
      </c>
      <c r="G1576" s="6">
        <v>0</v>
      </c>
      <c r="H1576" s="6">
        <v>3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3</v>
      </c>
      <c r="O1576" s="366"/>
      <c r="P1576" s="32">
        <f t="shared" si="258"/>
        <v>0</v>
      </c>
      <c r="Q1576" s="6">
        <f t="shared" si="259"/>
        <v>23</v>
      </c>
      <c r="R1576" s="59">
        <f t="shared" si="260"/>
        <v>1</v>
      </c>
      <c r="S1576" s="1"/>
      <c r="T1576" s="1"/>
      <c r="U1576" s="1"/>
    </row>
    <row r="1577" spans="1:21" ht="9.75" customHeight="1" x14ac:dyDescent="0.4">
      <c r="A1577" s="1"/>
      <c r="B1577" s="1"/>
      <c r="C1577" s="17"/>
      <c r="D1577" s="17" t="s">
        <v>301</v>
      </c>
      <c r="E1577" s="17">
        <v>157</v>
      </c>
      <c r="F1577" s="350">
        <v>0</v>
      </c>
      <c r="G1577" s="6">
        <v>0</v>
      </c>
      <c r="H1577" s="6">
        <v>0</v>
      </c>
      <c r="I1577" s="6">
        <v>0</v>
      </c>
      <c r="J1577" s="6">
        <v>2</v>
      </c>
      <c r="K1577" s="6">
        <v>0</v>
      </c>
      <c r="L1577" s="6">
        <v>0</v>
      </c>
      <c r="M1577" s="6">
        <v>18</v>
      </c>
      <c r="N1577" s="6">
        <v>15</v>
      </c>
      <c r="O1577" s="366"/>
      <c r="P1577" s="32">
        <f t="shared" si="258"/>
        <v>0</v>
      </c>
      <c r="Q1577" s="6">
        <f t="shared" si="259"/>
        <v>157</v>
      </c>
      <c r="R1577" s="59">
        <f t="shared" si="260"/>
        <v>1</v>
      </c>
      <c r="S1577" s="1"/>
      <c r="T1577" s="1"/>
      <c r="U1577" s="1"/>
    </row>
    <row r="1578" spans="1:21" ht="9.75" customHeight="1" x14ac:dyDescent="0.4">
      <c r="A1578" s="1"/>
      <c r="B1578" s="1"/>
      <c r="C1578" s="17"/>
      <c r="D1578" s="17" t="s">
        <v>303</v>
      </c>
      <c r="E1578" s="17"/>
      <c r="F1578" s="350"/>
      <c r="G1578" s="6"/>
      <c r="H1578" s="6"/>
      <c r="I1578" s="6"/>
      <c r="J1578" s="6"/>
      <c r="K1578" s="6"/>
      <c r="L1578" s="6"/>
      <c r="M1578" s="6"/>
      <c r="N1578" s="6"/>
      <c r="O1578" s="366"/>
      <c r="P1578" s="32"/>
      <c r="Q1578" s="6"/>
      <c r="R1578" s="59"/>
      <c r="S1578" s="1"/>
      <c r="T1578" s="1"/>
      <c r="U1578" s="1"/>
    </row>
    <row r="1579" spans="1:21" ht="9.75" customHeight="1" x14ac:dyDescent="0.4">
      <c r="A1579" s="1"/>
      <c r="B1579" s="1"/>
      <c r="C1579" s="17"/>
      <c r="D1579" s="17" t="s">
        <v>421</v>
      </c>
      <c r="E1579" s="17">
        <v>9</v>
      </c>
      <c r="F1579" s="350">
        <v>0</v>
      </c>
      <c r="G1579" s="6">
        <v>0</v>
      </c>
      <c r="H1579" s="6">
        <v>1</v>
      </c>
      <c r="I1579" s="6">
        <v>0</v>
      </c>
      <c r="J1579" s="6">
        <v>1</v>
      </c>
      <c r="K1579" s="6">
        <v>0</v>
      </c>
      <c r="L1579" s="6">
        <v>0</v>
      </c>
      <c r="M1579" s="6">
        <v>0</v>
      </c>
      <c r="N1579" s="6">
        <v>3</v>
      </c>
      <c r="O1579" s="366"/>
      <c r="P1579" s="32">
        <f>MIN(F1579:O1579)</f>
        <v>0</v>
      </c>
      <c r="Q1579" s="6">
        <f>E1579-P1579</f>
        <v>9</v>
      </c>
      <c r="R1579" s="59">
        <f>Q1579/E1579</f>
        <v>1</v>
      </c>
      <c r="S1579" s="1"/>
      <c r="T1579" s="1"/>
      <c r="U1579" s="1"/>
    </row>
    <row r="1580" spans="1:21" ht="9.75" customHeight="1" x14ac:dyDescent="0.4">
      <c r="A1580" s="1"/>
      <c r="B1580" s="1"/>
      <c r="C1580" s="17"/>
      <c r="D1580" s="17" t="s">
        <v>369</v>
      </c>
      <c r="E1580" s="17"/>
      <c r="F1580" s="350"/>
      <c r="G1580" s="6"/>
      <c r="H1580" s="6"/>
      <c r="I1580" s="6"/>
      <c r="J1580" s="6"/>
      <c r="K1580" s="6"/>
      <c r="L1580" s="6"/>
      <c r="M1580" s="6"/>
      <c r="N1580" s="6"/>
      <c r="O1580" s="366"/>
      <c r="P1580" s="32"/>
      <c r="Q1580" s="6"/>
      <c r="R1580" s="59"/>
      <c r="S1580" s="1"/>
      <c r="T1580" s="1"/>
      <c r="U1580" s="1"/>
    </row>
    <row r="1581" spans="1:21" ht="9.75" customHeight="1" x14ac:dyDescent="0.4">
      <c r="A1581" s="1"/>
      <c r="B1581" s="1"/>
      <c r="C1581" s="17"/>
      <c r="D1581" s="17" t="s">
        <v>308</v>
      </c>
      <c r="E1581" s="17">
        <v>3</v>
      </c>
      <c r="F1581" s="350">
        <v>3</v>
      </c>
      <c r="G1581" s="6">
        <v>1</v>
      </c>
      <c r="H1581" s="6">
        <v>2</v>
      </c>
      <c r="I1581" s="6">
        <v>2</v>
      </c>
      <c r="J1581" s="6">
        <v>1</v>
      </c>
      <c r="K1581" s="6">
        <v>1</v>
      </c>
      <c r="L1581" s="6">
        <v>2</v>
      </c>
      <c r="M1581" s="6">
        <v>2</v>
      </c>
      <c r="N1581" s="6">
        <v>2</v>
      </c>
      <c r="O1581" s="366"/>
      <c r="P1581" s="32">
        <f>MIN(F1581:O1581)</f>
        <v>1</v>
      </c>
      <c r="Q1581" s="6">
        <f>E1581-P1581</f>
        <v>2</v>
      </c>
      <c r="R1581" s="59">
        <f>Q1581/E1581</f>
        <v>0.66666666666666663</v>
      </c>
      <c r="S1581" s="1"/>
      <c r="T1581" s="1"/>
      <c r="U1581" s="1"/>
    </row>
    <row r="1582" spans="1:21" ht="9.75" customHeight="1" x14ac:dyDescent="0.4">
      <c r="A1582" s="1"/>
      <c r="B1582" s="1"/>
      <c r="C1582" s="17"/>
      <c r="D1582" s="17" t="s">
        <v>377</v>
      </c>
      <c r="E1582" s="17"/>
      <c r="F1582" s="350"/>
      <c r="G1582" s="6"/>
      <c r="H1582" s="6"/>
      <c r="I1582" s="6"/>
      <c r="J1582" s="6"/>
      <c r="K1582" s="6"/>
      <c r="L1582" s="6"/>
      <c r="M1582" s="6"/>
      <c r="N1582" s="6"/>
      <c r="O1582" s="366"/>
      <c r="P1582" s="32"/>
      <c r="Q1582" s="6"/>
      <c r="R1582" s="59"/>
      <c r="S1582" s="1"/>
      <c r="T1582" s="1"/>
      <c r="U1582" s="1"/>
    </row>
    <row r="1583" spans="1:21" ht="9.75" customHeight="1" x14ac:dyDescent="0.4">
      <c r="A1583" s="1"/>
      <c r="B1583" s="1"/>
      <c r="C1583" s="17"/>
      <c r="D1583" s="17" t="s">
        <v>374</v>
      </c>
      <c r="E1583" s="17"/>
      <c r="F1583" s="350"/>
      <c r="G1583" s="6"/>
      <c r="H1583" s="6"/>
      <c r="I1583" s="6"/>
      <c r="J1583" s="6"/>
      <c r="K1583" s="6"/>
      <c r="L1583" s="6"/>
      <c r="M1583" s="6"/>
      <c r="N1583" s="6"/>
      <c r="O1583" s="366"/>
      <c r="P1583" s="32"/>
      <c r="Q1583" s="6"/>
      <c r="R1583" s="59"/>
      <c r="S1583" s="1"/>
      <c r="T1583" s="1"/>
      <c r="U1583" s="1"/>
    </row>
    <row r="1584" spans="1:21" ht="9.75" customHeight="1" x14ac:dyDescent="0.4">
      <c r="A1584" s="1"/>
      <c r="B1584" s="1"/>
      <c r="C1584" s="17"/>
      <c r="D1584" s="17" t="s">
        <v>374</v>
      </c>
      <c r="E1584" s="17"/>
      <c r="F1584" s="350"/>
      <c r="G1584" s="6"/>
      <c r="H1584" s="6"/>
      <c r="I1584" s="6"/>
      <c r="J1584" s="6"/>
      <c r="K1584" s="6"/>
      <c r="L1584" s="6"/>
      <c r="M1584" s="6"/>
      <c r="N1584" s="6"/>
      <c r="O1584" s="366"/>
      <c r="P1584" s="32"/>
      <c r="Q1584" s="6"/>
      <c r="R1584" s="59"/>
      <c r="S1584" s="1"/>
      <c r="T1584" s="1"/>
      <c r="U1584" s="1"/>
    </row>
    <row r="1585" spans="1:21" ht="9.75" customHeight="1" x14ac:dyDescent="0.4">
      <c r="A1585" s="1"/>
      <c r="B1585" s="1"/>
      <c r="C1585" s="17"/>
      <c r="D1585" s="17" t="s">
        <v>374</v>
      </c>
      <c r="E1585" s="17"/>
      <c r="F1585" s="350"/>
      <c r="G1585" s="6"/>
      <c r="H1585" s="6"/>
      <c r="I1585" s="6"/>
      <c r="J1585" s="6"/>
      <c r="K1585" s="6"/>
      <c r="L1585" s="6"/>
      <c r="M1585" s="6"/>
      <c r="N1585" s="6"/>
      <c r="O1585" s="366"/>
      <c r="P1585" s="32"/>
      <c r="Q1585" s="6"/>
      <c r="R1585" s="59"/>
      <c r="S1585" s="1"/>
      <c r="T1585" s="1"/>
      <c r="U1585" s="1"/>
    </row>
    <row r="1586" spans="1:21" ht="9.75" customHeight="1" x14ac:dyDescent="0.4">
      <c r="A1586" s="1"/>
      <c r="B1586" s="1"/>
      <c r="C1586" s="17"/>
      <c r="D1586" s="17" t="s">
        <v>374</v>
      </c>
      <c r="E1586" s="17"/>
      <c r="F1586" s="350"/>
      <c r="G1586" s="6"/>
      <c r="H1586" s="6"/>
      <c r="I1586" s="6"/>
      <c r="J1586" s="6"/>
      <c r="K1586" s="6"/>
      <c r="L1586" s="6"/>
      <c r="M1586" s="6"/>
      <c r="N1586" s="6"/>
      <c r="O1586" s="366"/>
      <c r="P1586" s="32"/>
      <c r="Q1586" s="6"/>
      <c r="R1586" s="59"/>
      <c r="S1586" s="1"/>
      <c r="T1586" s="1"/>
      <c r="U1586" s="1"/>
    </row>
    <row r="1587" spans="1:21" ht="9.75" customHeight="1" x14ac:dyDescent="0.4">
      <c r="A1587" s="1"/>
      <c r="B1587" s="1"/>
      <c r="C1587" s="17"/>
      <c r="D1587" s="17" t="s">
        <v>374</v>
      </c>
      <c r="E1587" s="17"/>
      <c r="F1587" s="350"/>
      <c r="G1587" s="6"/>
      <c r="H1587" s="6"/>
      <c r="I1587" s="6"/>
      <c r="J1587" s="6"/>
      <c r="K1587" s="6"/>
      <c r="L1587" s="6"/>
      <c r="M1587" s="6"/>
      <c r="N1587" s="6"/>
      <c r="O1587" s="366"/>
      <c r="P1587" s="32"/>
      <c r="Q1587" s="6"/>
      <c r="R1587" s="59"/>
      <c r="S1587" s="1"/>
      <c r="T1587" s="1"/>
      <c r="U1587" s="1"/>
    </row>
    <row r="1588" spans="1:21" ht="9.75" customHeight="1" x14ac:dyDescent="0.4">
      <c r="A1588" s="1"/>
      <c r="B1588" s="1"/>
      <c r="C1588" s="17"/>
      <c r="D1588" s="17" t="s">
        <v>310</v>
      </c>
      <c r="E1588" s="17"/>
      <c r="F1588" s="350"/>
      <c r="G1588" s="6"/>
      <c r="H1588" s="6"/>
      <c r="I1588" s="6"/>
      <c r="J1588" s="6"/>
      <c r="K1588" s="6"/>
      <c r="L1588" s="6"/>
      <c r="M1588" s="6"/>
      <c r="N1588" s="6"/>
      <c r="O1588" s="366"/>
      <c r="P1588" s="32"/>
      <c r="Q1588" s="6"/>
      <c r="R1588" s="59"/>
      <c r="S1588" s="1"/>
      <c r="T1588" s="1"/>
      <c r="U1588" s="1"/>
    </row>
    <row r="1589" spans="1:21" ht="9.75" customHeight="1" x14ac:dyDescent="0.4">
      <c r="A1589" s="1"/>
      <c r="B1589" s="1"/>
      <c r="C1589" s="17"/>
      <c r="D1589" s="17" t="s">
        <v>311</v>
      </c>
      <c r="E1589" s="17"/>
      <c r="F1589" s="350"/>
      <c r="G1589" s="6"/>
      <c r="H1589" s="6"/>
      <c r="I1589" s="6"/>
      <c r="J1589" s="6"/>
      <c r="K1589" s="6"/>
      <c r="L1589" s="6"/>
      <c r="M1589" s="6"/>
      <c r="N1589" s="6"/>
      <c r="O1589" s="366"/>
      <c r="P1589" s="32"/>
      <c r="Q1589" s="6"/>
      <c r="R1589" s="59"/>
      <c r="S1589" s="1"/>
      <c r="T1589" s="1"/>
      <c r="U1589" s="1"/>
    </row>
    <row r="1590" spans="1:21" ht="9.75" customHeight="1" x14ac:dyDescent="0.4">
      <c r="A1590" s="1"/>
      <c r="B1590" s="1"/>
      <c r="C1590" s="17"/>
      <c r="D1590" s="17" t="s">
        <v>312</v>
      </c>
      <c r="E1590" s="17">
        <v>1</v>
      </c>
      <c r="F1590" s="350">
        <v>1</v>
      </c>
      <c r="G1590" s="6">
        <v>0</v>
      </c>
      <c r="H1590" s="6">
        <v>1</v>
      </c>
      <c r="I1590" s="6">
        <v>1</v>
      </c>
      <c r="J1590" s="6">
        <v>1</v>
      </c>
      <c r="K1590" s="6">
        <v>1</v>
      </c>
      <c r="L1590" s="6">
        <v>1</v>
      </c>
      <c r="M1590" s="6">
        <v>1</v>
      </c>
      <c r="N1590" s="6">
        <v>1</v>
      </c>
      <c r="O1590" s="366"/>
      <c r="P1590" s="32">
        <f>MIN(F1590:O1590)</f>
        <v>0</v>
      </c>
      <c r="Q1590" s="6">
        <f>E1590-P1590</f>
        <v>1</v>
      </c>
      <c r="R1590" s="59">
        <f>Q1590/E1590</f>
        <v>1</v>
      </c>
      <c r="S1590" s="1"/>
      <c r="T1590" s="1"/>
      <c r="U1590" s="1"/>
    </row>
    <row r="1591" spans="1:21" ht="9.75" customHeight="1" x14ac:dyDescent="0.4">
      <c r="A1591" s="1"/>
      <c r="B1591" s="1"/>
      <c r="C1591" s="17"/>
      <c r="D1591" s="17" t="s">
        <v>313</v>
      </c>
      <c r="E1591" s="17"/>
      <c r="F1591" s="350"/>
      <c r="G1591" s="6"/>
      <c r="H1591" s="6"/>
      <c r="I1591" s="6"/>
      <c r="J1591" s="6"/>
      <c r="K1591" s="6"/>
      <c r="L1591" s="6"/>
      <c r="M1591" s="6"/>
      <c r="N1591" s="6"/>
      <c r="O1591" s="366"/>
      <c r="P1591" s="32"/>
      <c r="Q1591" s="6"/>
      <c r="R1591" s="59"/>
      <c r="S1591" s="1"/>
      <c r="T1591" s="1"/>
      <c r="U1591" s="1"/>
    </row>
    <row r="1592" spans="1:21" ht="9.75" customHeight="1" x14ac:dyDescent="0.4">
      <c r="A1592" s="1"/>
      <c r="B1592" s="1" t="s">
        <v>395</v>
      </c>
      <c r="C1592" s="34"/>
      <c r="D1592" s="65" t="s">
        <v>314</v>
      </c>
      <c r="E1592" s="65">
        <f t="shared" ref="E1592:N1592" si="261">SUM(E1576:E1591)</f>
        <v>193</v>
      </c>
      <c r="F1592" s="104">
        <f t="shared" si="261"/>
        <v>5</v>
      </c>
      <c r="G1592" s="128">
        <f t="shared" si="261"/>
        <v>1</v>
      </c>
      <c r="H1592" s="128">
        <f t="shared" si="261"/>
        <v>7</v>
      </c>
      <c r="I1592" s="128">
        <f t="shared" si="261"/>
        <v>3</v>
      </c>
      <c r="J1592" s="128">
        <f t="shared" si="261"/>
        <v>5</v>
      </c>
      <c r="K1592" s="128">
        <f t="shared" si="261"/>
        <v>2</v>
      </c>
      <c r="L1592" s="128">
        <f t="shared" si="261"/>
        <v>3</v>
      </c>
      <c r="M1592" s="128">
        <f t="shared" si="261"/>
        <v>21</v>
      </c>
      <c r="N1592" s="128">
        <f t="shared" si="261"/>
        <v>24</v>
      </c>
      <c r="O1592" s="129"/>
      <c r="P1592" s="104">
        <f>MIN(F1592:O1592)</f>
        <v>1</v>
      </c>
      <c r="Q1592" s="128">
        <f>E1592-P1592</f>
        <v>192</v>
      </c>
      <c r="R1592" s="72">
        <f>Q1592/E1592</f>
        <v>0.99481865284974091</v>
      </c>
      <c r="S1592" s="1"/>
      <c r="T1592" s="1"/>
      <c r="U1592" s="1"/>
    </row>
    <row r="1593" spans="1:21" ht="9.75" customHeight="1" x14ac:dyDescent="0.4">
      <c r="A1593" s="1"/>
      <c r="B1593" s="1"/>
      <c r="C1593" s="19" t="s">
        <v>465</v>
      </c>
      <c r="D1593" s="19" t="s">
        <v>300</v>
      </c>
      <c r="E1593" s="24"/>
      <c r="F1593" s="134"/>
      <c r="G1593" s="135"/>
      <c r="H1593" s="135"/>
      <c r="I1593" s="135"/>
      <c r="J1593" s="135"/>
      <c r="K1593" s="135"/>
      <c r="L1593" s="135"/>
      <c r="M1593" s="135"/>
      <c r="N1593" s="135"/>
      <c r="O1593" s="136"/>
      <c r="P1593" s="134"/>
      <c r="Q1593" s="135"/>
      <c r="R1593" s="137"/>
      <c r="S1593" s="1"/>
      <c r="T1593" s="1"/>
      <c r="U1593" s="1"/>
    </row>
    <row r="1594" spans="1:21" ht="9.75" customHeight="1" x14ac:dyDescent="0.4">
      <c r="A1594" s="1"/>
      <c r="B1594" s="1"/>
      <c r="C1594" s="24" t="s">
        <v>330</v>
      </c>
      <c r="D1594" s="24" t="s">
        <v>301</v>
      </c>
      <c r="E1594" s="24"/>
      <c r="F1594" s="134"/>
      <c r="G1594" s="135"/>
      <c r="H1594" s="135"/>
      <c r="I1594" s="135"/>
      <c r="J1594" s="135"/>
      <c r="K1594" s="135"/>
      <c r="L1594" s="135"/>
      <c r="M1594" s="135"/>
      <c r="N1594" s="135"/>
      <c r="O1594" s="136"/>
      <c r="P1594" s="134"/>
      <c r="Q1594" s="135"/>
      <c r="R1594" s="137"/>
      <c r="S1594" s="1"/>
      <c r="T1594" s="1"/>
      <c r="U1594" s="1"/>
    </row>
    <row r="1595" spans="1:21" ht="9.75" customHeight="1" x14ac:dyDescent="0.4">
      <c r="A1595" s="1"/>
      <c r="B1595" s="1"/>
      <c r="C1595" s="24" t="s">
        <v>403</v>
      </c>
      <c r="D1595" s="24" t="s">
        <v>303</v>
      </c>
      <c r="E1595" s="24"/>
      <c r="F1595" s="134"/>
      <c r="G1595" s="135"/>
      <c r="H1595" s="135"/>
      <c r="I1595" s="135"/>
      <c r="J1595" s="135"/>
      <c r="K1595" s="135"/>
      <c r="L1595" s="135"/>
      <c r="M1595" s="135"/>
      <c r="N1595" s="135"/>
      <c r="O1595" s="136"/>
      <c r="P1595" s="134"/>
      <c r="Q1595" s="135"/>
      <c r="R1595" s="137"/>
      <c r="S1595" s="1"/>
      <c r="T1595" s="1"/>
      <c r="U1595" s="1"/>
    </row>
    <row r="1596" spans="1:21" ht="9.75" customHeight="1" x14ac:dyDescent="0.4">
      <c r="A1596" s="1"/>
      <c r="B1596" s="1"/>
      <c r="C1596" s="24" t="s">
        <v>332</v>
      </c>
      <c r="D1596" s="24" t="s">
        <v>369</v>
      </c>
      <c r="E1596" s="24"/>
      <c r="F1596" s="134"/>
      <c r="G1596" s="135"/>
      <c r="H1596" s="135"/>
      <c r="I1596" s="135"/>
      <c r="J1596" s="135"/>
      <c r="K1596" s="135"/>
      <c r="L1596" s="135"/>
      <c r="M1596" s="135"/>
      <c r="N1596" s="135"/>
      <c r="O1596" s="136"/>
      <c r="P1596" s="134"/>
      <c r="Q1596" s="135"/>
      <c r="R1596" s="137"/>
      <c r="S1596" s="1"/>
      <c r="T1596" s="1"/>
      <c r="U1596" s="1"/>
    </row>
    <row r="1597" spans="1:21" ht="9.75" customHeight="1" x14ac:dyDescent="0.4">
      <c r="A1597" s="1"/>
      <c r="B1597" s="1"/>
      <c r="C1597" s="24"/>
      <c r="D1597" s="24" t="s">
        <v>369</v>
      </c>
      <c r="E1597" s="24"/>
      <c r="F1597" s="134"/>
      <c r="G1597" s="135"/>
      <c r="H1597" s="135"/>
      <c r="I1597" s="135"/>
      <c r="J1597" s="135"/>
      <c r="K1597" s="135"/>
      <c r="L1597" s="135"/>
      <c r="M1597" s="135"/>
      <c r="N1597" s="135"/>
      <c r="O1597" s="136"/>
      <c r="P1597" s="134"/>
      <c r="Q1597" s="135"/>
      <c r="R1597" s="137"/>
      <c r="S1597" s="1"/>
      <c r="T1597" s="1"/>
      <c r="U1597" s="1"/>
    </row>
    <row r="1598" spans="1:21" ht="9.75" customHeight="1" x14ac:dyDescent="0.4">
      <c r="A1598" s="1"/>
      <c r="B1598" s="1"/>
      <c r="C1598" s="24"/>
      <c r="D1598" s="24" t="s">
        <v>308</v>
      </c>
      <c r="E1598" s="24"/>
      <c r="F1598" s="134"/>
      <c r="G1598" s="135"/>
      <c r="H1598" s="135"/>
      <c r="I1598" s="135"/>
      <c r="J1598" s="135"/>
      <c r="K1598" s="135"/>
      <c r="L1598" s="135"/>
      <c r="M1598" s="135"/>
      <c r="N1598" s="135"/>
      <c r="O1598" s="136"/>
      <c r="P1598" s="134"/>
      <c r="Q1598" s="135"/>
      <c r="R1598" s="137"/>
      <c r="S1598" s="1"/>
      <c r="T1598" s="1"/>
      <c r="U1598" s="1"/>
    </row>
    <row r="1599" spans="1:21" ht="9.75" customHeight="1" x14ac:dyDescent="0.4">
      <c r="A1599" s="1"/>
      <c r="B1599" s="1"/>
      <c r="C1599" s="24"/>
      <c r="D1599" s="24" t="s">
        <v>374</v>
      </c>
      <c r="E1599" s="24"/>
      <c r="F1599" s="134"/>
      <c r="G1599" s="135"/>
      <c r="H1599" s="135"/>
      <c r="I1599" s="135"/>
      <c r="J1599" s="135"/>
      <c r="K1599" s="135"/>
      <c r="L1599" s="135"/>
      <c r="M1599" s="135"/>
      <c r="N1599" s="135"/>
      <c r="O1599" s="136"/>
      <c r="P1599" s="134"/>
      <c r="Q1599" s="135"/>
      <c r="R1599" s="137"/>
      <c r="S1599" s="1"/>
      <c r="T1599" s="1"/>
      <c r="U1599" s="1"/>
    </row>
    <row r="1600" spans="1:21" ht="9.75" customHeight="1" x14ac:dyDescent="0.4">
      <c r="A1600" s="1"/>
      <c r="B1600" s="1"/>
      <c r="C1600" s="24"/>
      <c r="D1600" s="24" t="s">
        <v>374</v>
      </c>
      <c r="E1600" s="24"/>
      <c r="F1600" s="134"/>
      <c r="G1600" s="135"/>
      <c r="H1600" s="135"/>
      <c r="I1600" s="135"/>
      <c r="J1600" s="135"/>
      <c r="K1600" s="135"/>
      <c r="L1600" s="135"/>
      <c r="M1600" s="135"/>
      <c r="N1600" s="135"/>
      <c r="O1600" s="136"/>
      <c r="P1600" s="134"/>
      <c r="Q1600" s="135"/>
      <c r="R1600" s="137"/>
      <c r="S1600" s="1"/>
      <c r="T1600" s="1"/>
      <c r="U1600" s="1"/>
    </row>
    <row r="1601" spans="1:21" ht="9.75" customHeight="1" x14ac:dyDescent="0.4">
      <c r="A1601" s="1"/>
      <c r="B1601" s="1"/>
      <c r="C1601" s="24"/>
      <c r="D1601" s="24" t="s">
        <v>374</v>
      </c>
      <c r="E1601" s="24"/>
      <c r="F1601" s="134"/>
      <c r="G1601" s="135"/>
      <c r="H1601" s="135"/>
      <c r="I1601" s="135"/>
      <c r="J1601" s="135"/>
      <c r="K1601" s="135"/>
      <c r="L1601" s="135"/>
      <c r="M1601" s="135"/>
      <c r="N1601" s="135"/>
      <c r="O1601" s="136"/>
      <c r="P1601" s="134"/>
      <c r="Q1601" s="135"/>
      <c r="R1601" s="137"/>
      <c r="S1601" s="1"/>
      <c r="T1601" s="1"/>
      <c r="U1601" s="1"/>
    </row>
    <row r="1602" spans="1:21" ht="9.75" customHeight="1" x14ac:dyDescent="0.4">
      <c r="A1602" s="1"/>
      <c r="B1602" s="1"/>
      <c r="C1602" s="24"/>
      <c r="D1602" s="24" t="s">
        <v>374</v>
      </c>
      <c r="E1602" s="24"/>
      <c r="F1602" s="134"/>
      <c r="G1602" s="135"/>
      <c r="H1602" s="135"/>
      <c r="I1602" s="135"/>
      <c r="J1602" s="135"/>
      <c r="K1602" s="135"/>
      <c r="L1602" s="135"/>
      <c r="M1602" s="135"/>
      <c r="N1602" s="135"/>
      <c r="O1602" s="136"/>
      <c r="P1602" s="134"/>
      <c r="Q1602" s="135"/>
      <c r="R1602" s="137"/>
      <c r="S1602" s="1"/>
      <c r="T1602" s="1"/>
      <c r="U1602" s="1"/>
    </row>
    <row r="1603" spans="1:21" ht="9.75" customHeight="1" x14ac:dyDescent="0.4">
      <c r="A1603" s="1"/>
      <c r="B1603" s="1"/>
      <c r="C1603" s="24"/>
      <c r="D1603" s="24" t="s">
        <v>374</v>
      </c>
      <c r="E1603" s="24"/>
      <c r="F1603" s="134"/>
      <c r="G1603" s="135"/>
      <c r="H1603" s="135"/>
      <c r="I1603" s="135"/>
      <c r="J1603" s="135"/>
      <c r="K1603" s="135"/>
      <c r="L1603" s="135"/>
      <c r="M1603" s="135"/>
      <c r="N1603" s="135"/>
      <c r="O1603" s="136"/>
      <c r="P1603" s="134"/>
      <c r="Q1603" s="135"/>
      <c r="R1603" s="137"/>
      <c r="S1603" s="1"/>
      <c r="T1603" s="1"/>
      <c r="U1603" s="1"/>
    </row>
    <row r="1604" spans="1:21" ht="9.75" customHeight="1" x14ac:dyDescent="0.4">
      <c r="A1604" s="1"/>
      <c r="B1604" s="1"/>
      <c r="C1604" s="24"/>
      <c r="D1604" s="24" t="s">
        <v>374</v>
      </c>
      <c r="E1604" s="24"/>
      <c r="F1604" s="134"/>
      <c r="G1604" s="135"/>
      <c r="H1604" s="135"/>
      <c r="I1604" s="135"/>
      <c r="J1604" s="135"/>
      <c r="K1604" s="135"/>
      <c r="L1604" s="135"/>
      <c r="M1604" s="135"/>
      <c r="N1604" s="135"/>
      <c r="O1604" s="136"/>
      <c r="P1604" s="134"/>
      <c r="Q1604" s="135"/>
      <c r="R1604" s="137"/>
      <c r="S1604" s="1"/>
      <c r="T1604" s="1"/>
      <c r="U1604" s="1"/>
    </row>
    <row r="1605" spans="1:21" ht="9.75" customHeight="1" x14ac:dyDescent="0.4">
      <c r="A1605" s="1"/>
      <c r="B1605" s="1"/>
      <c r="C1605" s="24"/>
      <c r="D1605" s="24" t="s">
        <v>310</v>
      </c>
      <c r="E1605" s="24"/>
      <c r="F1605" s="134"/>
      <c r="G1605" s="135"/>
      <c r="H1605" s="135"/>
      <c r="I1605" s="135"/>
      <c r="J1605" s="135"/>
      <c r="K1605" s="135"/>
      <c r="L1605" s="135"/>
      <c r="M1605" s="135"/>
      <c r="N1605" s="135"/>
      <c r="O1605" s="136"/>
      <c r="P1605" s="134"/>
      <c r="Q1605" s="135"/>
      <c r="R1605" s="137"/>
      <c r="S1605" s="1"/>
      <c r="T1605" s="1"/>
      <c r="U1605" s="1"/>
    </row>
    <row r="1606" spans="1:21" ht="9.75" customHeight="1" x14ac:dyDescent="0.4">
      <c r="A1606" s="1"/>
      <c r="B1606" s="1"/>
      <c r="C1606" s="24"/>
      <c r="D1606" s="24" t="s">
        <v>311</v>
      </c>
      <c r="E1606" s="24"/>
      <c r="F1606" s="134"/>
      <c r="G1606" s="135"/>
      <c r="H1606" s="135"/>
      <c r="I1606" s="135"/>
      <c r="J1606" s="135"/>
      <c r="K1606" s="135"/>
      <c r="L1606" s="135"/>
      <c r="M1606" s="135"/>
      <c r="N1606" s="135"/>
      <c r="O1606" s="136"/>
      <c r="P1606" s="134"/>
      <c r="Q1606" s="135"/>
      <c r="R1606" s="137"/>
      <c r="S1606" s="1"/>
      <c r="T1606" s="1"/>
      <c r="U1606" s="1"/>
    </row>
    <row r="1607" spans="1:21" ht="9.75" customHeight="1" x14ac:dyDescent="0.4">
      <c r="A1607" s="1"/>
      <c r="B1607" s="1"/>
      <c r="C1607" s="24"/>
      <c r="D1607" s="24" t="s">
        <v>312</v>
      </c>
      <c r="E1607" s="24"/>
      <c r="F1607" s="134"/>
      <c r="G1607" s="135"/>
      <c r="H1607" s="135"/>
      <c r="I1607" s="135"/>
      <c r="J1607" s="135"/>
      <c r="K1607" s="135"/>
      <c r="L1607" s="135"/>
      <c r="M1607" s="135"/>
      <c r="N1607" s="135"/>
      <c r="O1607" s="136"/>
      <c r="P1607" s="134"/>
      <c r="Q1607" s="135"/>
      <c r="R1607" s="137"/>
      <c r="S1607" s="1"/>
      <c r="T1607" s="1"/>
      <c r="U1607" s="1"/>
    </row>
    <row r="1608" spans="1:21" ht="9.75" customHeight="1" x14ac:dyDescent="0.4">
      <c r="A1608" s="1"/>
      <c r="B1608" s="1"/>
      <c r="C1608" s="24"/>
      <c r="D1608" s="24" t="s">
        <v>313</v>
      </c>
      <c r="E1608" s="24"/>
      <c r="F1608" s="134"/>
      <c r="G1608" s="135"/>
      <c r="H1608" s="135"/>
      <c r="I1608" s="135"/>
      <c r="J1608" s="135"/>
      <c r="K1608" s="135"/>
      <c r="L1608" s="135"/>
      <c r="M1608" s="135"/>
      <c r="N1608" s="135"/>
      <c r="O1608" s="136"/>
      <c r="P1608" s="134"/>
      <c r="Q1608" s="135"/>
      <c r="R1608" s="137"/>
      <c r="S1608" s="1"/>
      <c r="T1608" s="1"/>
      <c r="U1608" s="1"/>
    </row>
    <row r="1609" spans="1:21" ht="9.75" customHeight="1" x14ac:dyDescent="0.4">
      <c r="A1609" s="1"/>
      <c r="B1609" s="1"/>
      <c r="C1609" s="229"/>
      <c r="D1609" s="141" t="s">
        <v>314</v>
      </c>
      <c r="E1609" s="141"/>
      <c r="F1609" s="142"/>
      <c r="G1609" s="143"/>
      <c r="H1609" s="143"/>
      <c r="I1609" s="143"/>
      <c r="J1609" s="143"/>
      <c r="K1609" s="143"/>
      <c r="L1609" s="143"/>
      <c r="M1609" s="143"/>
      <c r="N1609" s="143"/>
      <c r="O1609" s="144"/>
      <c r="P1609" s="142"/>
      <c r="Q1609" s="143"/>
      <c r="R1609" s="145"/>
      <c r="S1609" s="1"/>
      <c r="T1609" s="1"/>
      <c r="U1609" s="1"/>
    </row>
    <row r="1610" spans="1:21" ht="9.75" customHeight="1" x14ac:dyDescent="0.4">
      <c r="A1610" s="1"/>
      <c r="B1610" s="1"/>
      <c r="C1610" s="15" t="s">
        <v>61</v>
      </c>
      <c r="D1610" s="15" t="s">
        <v>300</v>
      </c>
      <c r="E1610" s="15"/>
      <c r="F1610" s="73"/>
      <c r="G1610" s="108"/>
      <c r="H1610" s="108"/>
      <c r="I1610" s="108"/>
      <c r="J1610" s="108"/>
      <c r="K1610" s="108"/>
      <c r="L1610" s="108"/>
      <c r="M1610" s="108"/>
      <c r="N1610" s="108"/>
      <c r="O1610" s="109"/>
      <c r="P1610" s="73"/>
      <c r="Q1610" s="108"/>
      <c r="R1610" s="188"/>
      <c r="S1610" s="1"/>
      <c r="T1610" s="1"/>
      <c r="U1610" s="1"/>
    </row>
    <row r="1611" spans="1:21" ht="9.75" customHeight="1" x14ac:dyDescent="0.4">
      <c r="A1611" s="1"/>
      <c r="B1611" s="1"/>
      <c r="C1611" s="17"/>
      <c r="D1611" s="17" t="s">
        <v>301</v>
      </c>
      <c r="E1611" s="17"/>
      <c r="F1611" s="32"/>
      <c r="G1611" s="6"/>
      <c r="H1611" s="6"/>
      <c r="I1611" s="6"/>
      <c r="J1611" s="6"/>
      <c r="K1611" s="6"/>
      <c r="L1611" s="6"/>
      <c r="M1611" s="6"/>
      <c r="N1611" s="6"/>
      <c r="O1611" s="31"/>
      <c r="P1611" s="32"/>
      <c r="Q1611" s="6"/>
      <c r="R1611" s="59"/>
      <c r="S1611" s="1"/>
      <c r="T1611" s="1"/>
      <c r="U1611" s="1"/>
    </row>
    <row r="1612" spans="1:21" ht="9.75" customHeight="1" x14ac:dyDescent="0.4">
      <c r="A1612" s="1"/>
      <c r="B1612" s="1"/>
      <c r="C1612" s="17"/>
      <c r="D1612" s="17" t="s">
        <v>303</v>
      </c>
      <c r="E1612" s="17"/>
      <c r="F1612" s="32"/>
      <c r="G1612" s="6"/>
      <c r="H1612" s="6"/>
      <c r="I1612" s="6"/>
      <c r="J1612" s="6"/>
      <c r="K1612" s="6"/>
      <c r="L1612" s="6"/>
      <c r="M1612" s="6"/>
      <c r="N1612" s="6"/>
      <c r="O1612" s="31"/>
      <c r="P1612" s="32"/>
      <c r="Q1612" s="6"/>
      <c r="R1612" s="59"/>
      <c r="S1612" s="1"/>
      <c r="T1612" s="1"/>
      <c r="U1612" s="1"/>
    </row>
    <row r="1613" spans="1:21" ht="9.75" customHeight="1" x14ac:dyDescent="0.4">
      <c r="A1613" s="1"/>
      <c r="B1613" s="1"/>
      <c r="C1613" s="17"/>
      <c r="D1613" s="17" t="s">
        <v>369</v>
      </c>
      <c r="E1613" s="17"/>
      <c r="F1613" s="32"/>
      <c r="G1613" s="6"/>
      <c r="H1613" s="6"/>
      <c r="I1613" s="6"/>
      <c r="J1613" s="6"/>
      <c r="K1613" s="6"/>
      <c r="L1613" s="6"/>
      <c r="M1613" s="6"/>
      <c r="N1613" s="6"/>
      <c r="O1613" s="31"/>
      <c r="P1613" s="32"/>
      <c r="Q1613" s="6"/>
      <c r="R1613" s="59"/>
      <c r="S1613" s="1"/>
      <c r="T1613" s="1"/>
      <c r="U1613" s="1"/>
    </row>
    <row r="1614" spans="1:21" ht="9.75" customHeight="1" x14ac:dyDescent="0.4">
      <c r="A1614" s="1"/>
      <c r="B1614" s="1"/>
      <c r="C1614" s="17"/>
      <c r="D1614" s="17" t="s">
        <v>369</v>
      </c>
      <c r="E1614" s="17"/>
      <c r="F1614" s="32"/>
      <c r="G1614" s="6"/>
      <c r="H1614" s="6"/>
      <c r="I1614" s="6"/>
      <c r="J1614" s="6"/>
      <c r="K1614" s="6"/>
      <c r="L1614" s="6"/>
      <c r="M1614" s="6"/>
      <c r="N1614" s="6"/>
      <c r="O1614" s="31"/>
      <c r="P1614" s="32"/>
      <c r="Q1614" s="6"/>
      <c r="R1614" s="59"/>
      <c r="S1614" s="1"/>
      <c r="T1614" s="1"/>
      <c r="U1614" s="1"/>
    </row>
    <row r="1615" spans="1:21" ht="9.75" customHeight="1" x14ac:dyDescent="0.4">
      <c r="A1615" s="1"/>
      <c r="B1615" s="1"/>
      <c r="C1615" s="17"/>
      <c r="D1615" s="17" t="s">
        <v>308</v>
      </c>
      <c r="E1615" s="17"/>
      <c r="F1615" s="32"/>
      <c r="G1615" s="6"/>
      <c r="H1615" s="6"/>
      <c r="I1615" s="6"/>
      <c r="J1615" s="6"/>
      <c r="K1615" s="6"/>
      <c r="L1615" s="6"/>
      <c r="M1615" s="6"/>
      <c r="N1615" s="6"/>
      <c r="O1615" s="31"/>
      <c r="P1615" s="32"/>
      <c r="Q1615" s="6"/>
      <c r="R1615" s="59"/>
      <c r="S1615" s="1"/>
      <c r="T1615" s="1"/>
      <c r="U1615" s="1"/>
    </row>
    <row r="1616" spans="1:21" ht="9.75" customHeight="1" x14ac:dyDescent="0.4">
      <c r="A1616" s="1"/>
      <c r="B1616" s="1"/>
      <c r="C1616" s="17"/>
      <c r="D1616" s="17" t="s">
        <v>374</v>
      </c>
      <c r="E1616" s="17"/>
      <c r="F1616" s="32"/>
      <c r="G1616" s="6"/>
      <c r="H1616" s="6"/>
      <c r="I1616" s="6"/>
      <c r="J1616" s="6"/>
      <c r="K1616" s="6"/>
      <c r="L1616" s="6"/>
      <c r="M1616" s="6"/>
      <c r="N1616" s="6"/>
      <c r="O1616" s="31"/>
      <c r="P1616" s="32"/>
      <c r="Q1616" s="6"/>
      <c r="R1616" s="59"/>
      <c r="S1616" s="1"/>
      <c r="T1616" s="1"/>
      <c r="U1616" s="1"/>
    </row>
    <row r="1617" spans="1:21" ht="9.75" customHeight="1" x14ac:dyDescent="0.4">
      <c r="A1617" s="1"/>
      <c r="B1617" s="1"/>
      <c r="C1617" s="17"/>
      <c r="D1617" s="17" t="s">
        <v>374</v>
      </c>
      <c r="E1617" s="17"/>
      <c r="F1617" s="32"/>
      <c r="G1617" s="6"/>
      <c r="H1617" s="6"/>
      <c r="I1617" s="6"/>
      <c r="J1617" s="6"/>
      <c r="K1617" s="6"/>
      <c r="L1617" s="6"/>
      <c r="M1617" s="6"/>
      <c r="N1617" s="6"/>
      <c r="O1617" s="31"/>
      <c r="P1617" s="32"/>
      <c r="Q1617" s="6"/>
      <c r="R1617" s="59"/>
      <c r="S1617" s="1"/>
      <c r="T1617" s="1"/>
      <c r="U1617" s="1"/>
    </row>
    <row r="1618" spans="1:21" ht="9.75" customHeight="1" x14ac:dyDescent="0.4">
      <c r="A1618" s="1"/>
      <c r="B1618" s="1"/>
      <c r="C1618" s="17"/>
      <c r="D1618" s="17" t="s">
        <v>374</v>
      </c>
      <c r="E1618" s="17"/>
      <c r="F1618" s="32"/>
      <c r="G1618" s="6"/>
      <c r="H1618" s="6"/>
      <c r="I1618" s="6"/>
      <c r="J1618" s="6"/>
      <c r="K1618" s="6"/>
      <c r="L1618" s="6"/>
      <c r="M1618" s="6"/>
      <c r="N1618" s="6"/>
      <c r="O1618" s="31"/>
      <c r="P1618" s="32"/>
      <c r="Q1618" s="6"/>
      <c r="R1618" s="59"/>
      <c r="S1618" s="1"/>
      <c r="T1618" s="1"/>
      <c r="U1618" s="1"/>
    </row>
    <row r="1619" spans="1:21" ht="9.75" customHeight="1" x14ac:dyDescent="0.4">
      <c r="A1619" s="1"/>
      <c r="B1619" s="1"/>
      <c r="C1619" s="17"/>
      <c r="D1619" s="17" t="s">
        <v>374</v>
      </c>
      <c r="E1619" s="17"/>
      <c r="F1619" s="32"/>
      <c r="G1619" s="6"/>
      <c r="H1619" s="6"/>
      <c r="I1619" s="6"/>
      <c r="J1619" s="6"/>
      <c r="K1619" s="6"/>
      <c r="L1619" s="6"/>
      <c r="M1619" s="6"/>
      <c r="N1619" s="6"/>
      <c r="O1619" s="31"/>
      <c r="P1619" s="32"/>
      <c r="Q1619" s="6"/>
      <c r="R1619" s="59"/>
      <c r="S1619" s="1"/>
      <c r="T1619" s="1"/>
      <c r="U1619" s="1"/>
    </row>
    <row r="1620" spans="1:21" ht="9.75" customHeight="1" x14ac:dyDescent="0.4">
      <c r="A1620" s="1"/>
      <c r="B1620" s="1"/>
      <c r="C1620" s="17"/>
      <c r="D1620" s="17" t="s">
        <v>374</v>
      </c>
      <c r="E1620" s="17"/>
      <c r="F1620" s="32"/>
      <c r="G1620" s="6"/>
      <c r="H1620" s="6"/>
      <c r="I1620" s="6"/>
      <c r="J1620" s="6"/>
      <c r="K1620" s="6"/>
      <c r="L1620" s="6"/>
      <c r="M1620" s="6"/>
      <c r="N1620" s="6"/>
      <c r="O1620" s="31"/>
      <c r="P1620" s="32"/>
      <c r="Q1620" s="6"/>
      <c r="R1620" s="59"/>
      <c r="S1620" s="1"/>
      <c r="T1620" s="1"/>
      <c r="U1620" s="1"/>
    </row>
    <row r="1621" spans="1:21" ht="9.75" customHeight="1" x14ac:dyDescent="0.4">
      <c r="A1621" s="1"/>
      <c r="B1621" s="1"/>
      <c r="C1621" s="17"/>
      <c r="D1621" s="17" t="s">
        <v>374</v>
      </c>
      <c r="E1621" s="17"/>
      <c r="F1621" s="32"/>
      <c r="G1621" s="6"/>
      <c r="H1621" s="6"/>
      <c r="I1621" s="6"/>
      <c r="J1621" s="6"/>
      <c r="K1621" s="6"/>
      <c r="L1621" s="6"/>
      <c r="M1621" s="6"/>
      <c r="N1621" s="6"/>
      <c r="O1621" s="31"/>
      <c r="P1621" s="32"/>
      <c r="Q1621" s="6"/>
      <c r="R1621" s="59"/>
      <c r="S1621" s="1"/>
      <c r="T1621" s="1"/>
      <c r="U1621" s="1"/>
    </row>
    <row r="1622" spans="1:21" ht="9.75" customHeight="1" x14ac:dyDescent="0.4">
      <c r="A1622" s="1"/>
      <c r="B1622" s="1"/>
      <c r="C1622" s="17"/>
      <c r="D1622" s="17" t="s">
        <v>310</v>
      </c>
      <c r="E1622" s="17">
        <v>10</v>
      </c>
      <c r="F1622" s="32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7</v>
      </c>
      <c r="M1622" s="6">
        <v>5</v>
      </c>
      <c r="N1622" s="6">
        <v>5</v>
      </c>
      <c r="O1622" s="31">
        <v>3</v>
      </c>
      <c r="P1622" s="32">
        <f>MIN(F1622:O1622)</f>
        <v>0</v>
      </c>
      <c r="Q1622" s="6">
        <f>E1622-P1622</f>
        <v>10</v>
      </c>
      <c r="R1622" s="59">
        <f>Q1622/E1622</f>
        <v>1</v>
      </c>
      <c r="S1622" s="1"/>
      <c r="T1622" s="1"/>
      <c r="U1622" s="1"/>
    </row>
    <row r="1623" spans="1:21" ht="9.75" customHeight="1" x14ac:dyDescent="0.4">
      <c r="A1623" s="1"/>
      <c r="B1623" s="1"/>
      <c r="C1623" s="17"/>
      <c r="D1623" s="17" t="s">
        <v>311</v>
      </c>
      <c r="E1623" s="17"/>
      <c r="F1623" s="32"/>
      <c r="G1623" s="6"/>
      <c r="H1623" s="6"/>
      <c r="I1623" s="6"/>
      <c r="J1623" s="6"/>
      <c r="K1623" s="6"/>
      <c r="L1623" s="6"/>
      <c r="M1623" s="6"/>
      <c r="N1623" s="6"/>
      <c r="O1623" s="31"/>
      <c r="P1623" s="32"/>
      <c r="Q1623" s="6"/>
      <c r="R1623" s="59"/>
      <c r="S1623" s="1"/>
      <c r="T1623" s="1"/>
      <c r="U1623" s="1"/>
    </row>
    <row r="1624" spans="1:21" ht="9.75" customHeight="1" x14ac:dyDescent="0.4">
      <c r="A1624" s="1"/>
      <c r="B1624" s="1"/>
      <c r="C1624" s="17"/>
      <c r="D1624" s="17" t="s">
        <v>312</v>
      </c>
      <c r="E1624" s="17"/>
      <c r="F1624" s="32"/>
      <c r="G1624" s="6"/>
      <c r="H1624" s="6"/>
      <c r="I1624" s="6"/>
      <c r="J1624" s="6"/>
      <c r="K1624" s="6"/>
      <c r="L1624" s="6"/>
      <c r="M1624" s="6"/>
      <c r="N1624" s="6"/>
      <c r="O1624" s="31"/>
      <c r="P1624" s="32"/>
      <c r="Q1624" s="6"/>
      <c r="R1624" s="59"/>
      <c r="S1624" s="1"/>
      <c r="T1624" s="1"/>
      <c r="U1624" s="1"/>
    </row>
    <row r="1625" spans="1:21" ht="9.75" customHeight="1" x14ac:dyDescent="0.4">
      <c r="A1625" s="1"/>
      <c r="B1625" s="1"/>
      <c r="C1625" s="17"/>
      <c r="D1625" s="17" t="s">
        <v>313</v>
      </c>
      <c r="E1625" s="17"/>
      <c r="F1625" s="32"/>
      <c r="G1625" s="6"/>
      <c r="H1625" s="6"/>
      <c r="I1625" s="6"/>
      <c r="J1625" s="6"/>
      <c r="K1625" s="6"/>
      <c r="L1625" s="6"/>
      <c r="M1625" s="6"/>
      <c r="N1625" s="6"/>
      <c r="O1625" s="31"/>
      <c r="P1625" s="32"/>
      <c r="Q1625" s="6"/>
      <c r="R1625" s="59"/>
      <c r="S1625" s="1"/>
      <c r="T1625" s="1"/>
      <c r="U1625" s="1"/>
    </row>
    <row r="1626" spans="1:21" ht="9.75" customHeight="1" x14ac:dyDescent="0.4">
      <c r="A1626" s="1"/>
      <c r="B1626" s="1" t="s">
        <v>395</v>
      </c>
      <c r="C1626" s="34"/>
      <c r="D1626" s="65" t="s">
        <v>314</v>
      </c>
      <c r="E1626" s="65">
        <f t="shared" ref="E1626:O1626" si="262">SUM(E1610:E1625)</f>
        <v>10</v>
      </c>
      <c r="F1626" s="104">
        <f t="shared" si="262"/>
        <v>0</v>
      </c>
      <c r="G1626" s="128">
        <f t="shared" si="262"/>
        <v>0</v>
      </c>
      <c r="H1626" s="128">
        <f t="shared" si="262"/>
        <v>0</v>
      </c>
      <c r="I1626" s="128">
        <f t="shared" si="262"/>
        <v>0</v>
      </c>
      <c r="J1626" s="128">
        <f t="shared" si="262"/>
        <v>0</v>
      </c>
      <c r="K1626" s="128">
        <f t="shared" si="262"/>
        <v>0</v>
      </c>
      <c r="L1626" s="128">
        <f t="shared" si="262"/>
        <v>7</v>
      </c>
      <c r="M1626" s="128">
        <f t="shared" si="262"/>
        <v>5</v>
      </c>
      <c r="N1626" s="128">
        <f t="shared" si="262"/>
        <v>5</v>
      </c>
      <c r="O1626" s="129">
        <f t="shared" si="262"/>
        <v>3</v>
      </c>
      <c r="P1626" s="104">
        <f t="shared" ref="P1626:P1628" si="263">MIN(F1626:O1626)</f>
        <v>0</v>
      </c>
      <c r="Q1626" s="128">
        <f t="shared" ref="Q1626:Q1628" si="264">E1626-P1626</f>
        <v>10</v>
      </c>
      <c r="R1626" s="72">
        <f t="shared" ref="R1626:R1628" si="265">Q1626/E1626</f>
        <v>1</v>
      </c>
      <c r="S1626" s="1"/>
      <c r="T1626" s="1"/>
      <c r="U1626" s="1"/>
    </row>
    <row r="1627" spans="1:21" ht="9.75" customHeight="1" x14ac:dyDescent="0.4">
      <c r="A1627" s="1"/>
      <c r="B1627" s="1"/>
      <c r="C1627" s="15" t="s">
        <v>82</v>
      </c>
      <c r="D1627" s="15" t="s">
        <v>300</v>
      </c>
      <c r="E1627" s="15">
        <v>65</v>
      </c>
      <c r="F1627" s="73">
        <v>0</v>
      </c>
      <c r="G1627" s="108">
        <v>0</v>
      </c>
      <c r="H1627" s="108">
        <v>0</v>
      </c>
      <c r="I1627" s="108">
        <v>0</v>
      </c>
      <c r="J1627" s="108">
        <v>0</v>
      </c>
      <c r="K1627" s="108">
        <v>1</v>
      </c>
      <c r="L1627" s="108">
        <v>3</v>
      </c>
      <c r="M1627" s="108">
        <v>1</v>
      </c>
      <c r="N1627" s="108">
        <v>7</v>
      </c>
      <c r="O1627" s="109">
        <v>9</v>
      </c>
      <c r="P1627" s="73">
        <f t="shared" si="263"/>
        <v>0</v>
      </c>
      <c r="Q1627" s="108">
        <f t="shared" si="264"/>
        <v>65</v>
      </c>
      <c r="R1627" s="188">
        <f t="shared" si="265"/>
        <v>1</v>
      </c>
      <c r="S1627" s="1"/>
      <c r="T1627" s="1"/>
      <c r="U1627" s="1"/>
    </row>
    <row r="1628" spans="1:21" ht="9.75" customHeight="1" x14ac:dyDescent="0.4">
      <c r="A1628" s="1"/>
      <c r="B1628" s="1"/>
      <c r="C1628" s="17"/>
      <c r="D1628" s="17" t="s">
        <v>323</v>
      </c>
      <c r="E1628" s="17">
        <v>48</v>
      </c>
      <c r="F1628" s="32">
        <v>30</v>
      </c>
      <c r="G1628" s="6">
        <v>0</v>
      </c>
      <c r="H1628" s="6">
        <v>0</v>
      </c>
      <c r="I1628" s="6">
        <v>0</v>
      </c>
      <c r="J1628" s="6">
        <v>1</v>
      </c>
      <c r="K1628" s="6">
        <v>1</v>
      </c>
      <c r="L1628" s="6">
        <v>4</v>
      </c>
      <c r="M1628" s="6">
        <v>7</v>
      </c>
      <c r="N1628" s="6">
        <v>10</v>
      </c>
      <c r="O1628" s="31">
        <v>12</v>
      </c>
      <c r="P1628" s="32">
        <f t="shared" si="263"/>
        <v>0</v>
      </c>
      <c r="Q1628" s="6">
        <f t="shared" si="264"/>
        <v>48</v>
      </c>
      <c r="R1628" s="59">
        <f t="shared" si="265"/>
        <v>1</v>
      </c>
      <c r="S1628" s="1"/>
      <c r="T1628" s="1"/>
      <c r="U1628" s="1"/>
    </row>
    <row r="1629" spans="1:21" ht="9.75" customHeight="1" x14ac:dyDescent="0.4">
      <c r="A1629" s="1"/>
      <c r="B1629" s="1"/>
      <c r="C1629" s="17" t="s">
        <v>466</v>
      </c>
      <c r="D1629" s="17" t="s">
        <v>301</v>
      </c>
      <c r="E1629" s="17"/>
      <c r="F1629" s="32"/>
      <c r="G1629" s="6"/>
      <c r="H1629" s="6"/>
      <c r="I1629" s="6"/>
      <c r="J1629" s="6"/>
      <c r="K1629" s="6"/>
      <c r="L1629" s="6"/>
      <c r="M1629" s="6"/>
      <c r="N1629" s="6"/>
      <c r="O1629" s="31"/>
      <c r="P1629" s="32"/>
      <c r="Q1629" s="6"/>
      <c r="R1629" s="59"/>
      <c r="S1629" s="1"/>
      <c r="T1629" s="1"/>
      <c r="U1629" s="1"/>
    </row>
    <row r="1630" spans="1:21" ht="9.75" customHeight="1" x14ac:dyDescent="0.4">
      <c r="A1630" s="1"/>
      <c r="B1630" s="1"/>
      <c r="C1630" s="17" t="s">
        <v>467</v>
      </c>
      <c r="D1630" s="17" t="s">
        <v>303</v>
      </c>
      <c r="E1630" s="17"/>
      <c r="F1630" s="32"/>
      <c r="G1630" s="6"/>
      <c r="H1630" s="6"/>
      <c r="I1630" s="6"/>
      <c r="J1630" s="6"/>
      <c r="K1630" s="6"/>
      <c r="L1630" s="6"/>
      <c r="M1630" s="6"/>
      <c r="N1630" s="6"/>
      <c r="O1630" s="31"/>
      <c r="P1630" s="32"/>
      <c r="Q1630" s="6"/>
      <c r="R1630" s="59"/>
      <c r="S1630" s="1"/>
      <c r="T1630" s="1"/>
      <c r="U1630" s="1"/>
    </row>
    <row r="1631" spans="1:21" ht="9.75" customHeight="1" x14ac:dyDescent="0.4">
      <c r="A1631" s="1"/>
      <c r="B1631" s="1"/>
      <c r="C1631" s="17"/>
      <c r="D1631" s="17" t="s">
        <v>434</v>
      </c>
      <c r="E1631" s="17">
        <v>5</v>
      </c>
      <c r="F1631" s="32">
        <v>0</v>
      </c>
      <c r="G1631" s="6">
        <v>0</v>
      </c>
      <c r="H1631" s="6">
        <v>0</v>
      </c>
      <c r="I1631" s="6">
        <v>0</v>
      </c>
      <c r="J1631" s="6">
        <v>2</v>
      </c>
      <c r="K1631" s="6">
        <v>1</v>
      </c>
      <c r="L1631" s="6">
        <v>0</v>
      </c>
      <c r="M1631" s="6">
        <v>2</v>
      </c>
      <c r="N1631" s="6">
        <v>4</v>
      </c>
      <c r="O1631" s="31">
        <v>4</v>
      </c>
      <c r="P1631" s="32">
        <f>MIN(F1631:O1631)</f>
        <v>0</v>
      </c>
      <c r="Q1631" s="6">
        <f>E1631-P1631</f>
        <v>5</v>
      </c>
      <c r="R1631" s="59">
        <f>Q1631/E1631</f>
        <v>1</v>
      </c>
      <c r="S1631" s="1"/>
      <c r="T1631" s="1"/>
      <c r="U1631" s="1"/>
    </row>
    <row r="1632" spans="1:21" ht="9.75" customHeight="1" x14ac:dyDescent="0.4">
      <c r="A1632" s="1"/>
      <c r="B1632" s="1"/>
      <c r="C1632" s="17"/>
      <c r="D1632" s="17" t="s">
        <v>369</v>
      </c>
      <c r="E1632" s="17"/>
      <c r="F1632" s="32"/>
      <c r="G1632" s="6"/>
      <c r="H1632" s="6"/>
      <c r="I1632" s="6"/>
      <c r="J1632" s="6"/>
      <c r="K1632" s="6"/>
      <c r="L1632" s="6"/>
      <c r="M1632" s="6"/>
      <c r="N1632" s="6"/>
      <c r="O1632" s="31"/>
      <c r="P1632" s="32"/>
      <c r="Q1632" s="6"/>
      <c r="R1632" s="59"/>
      <c r="S1632" s="1"/>
      <c r="T1632" s="1"/>
      <c r="U1632" s="1"/>
    </row>
    <row r="1633" spans="1:21" ht="9.75" customHeight="1" x14ac:dyDescent="0.4">
      <c r="A1633" s="1"/>
      <c r="B1633" s="1"/>
      <c r="C1633" s="17"/>
      <c r="D1633" s="17" t="s">
        <v>308</v>
      </c>
      <c r="E1633" s="17">
        <v>87</v>
      </c>
      <c r="F1633" s="32">
        <v>66</v>
      </c>
      <c r="G1633" s="6">
        <f>E1633-24</f>
        <v>63</v>
      </c>
      <c r="H1633" s="6">
        <f>E1633-16</f>
        <v>71</v>
      </c>
      <c r="I1633" s="6">
        <v>52</v>
      </c>
      <c r="J1633" s="6">
        <v>51</v>
      </c>
      <c r="K1633" s="6">
        <v>53</v>
      </c>
      <c r="L1633" s="6">
        <v>57</v>
      </c>
      <c r="M1633" s="6">
        <f>E1633-21</f>
        <v>66</v>
      </c>
      <c r="N1633" s="6">
        <f>E1633-19</f>
        <v>68</v>
      </c>
      <c r="O1633" s="31">
        <f>E1633-16</f>
        <v>71</v>
      </c>
      <c r="P1633" s="32">
        <f t="shared" ref="P1633:P1637" si="266">MIN(F1633:O1633)</f>
        <v>51</v>
      </c>
      <c r="Q1633" s="6">
        <f t="shared" ref="Q1633:Q1637" si="267">E1633-P1633</f>
        <v>36</v>
      </c>
      <c r="R1633" s="59">
        <f t="shared" ref="R1633:R1637" si="268">Q1633/E1633</f>
        <v>0.41379310344827586</v>
      </c>
      <c r="S1633" s="1"/>
      <c r="T1633" s="1"/>
      <c r="U1633" s="1"/>
    </row>
    <row r="1634" spans="1:21" ht="9.75" customHeight="1" x14ac:dyDescent="0.4">
      <c r="A1634" s="1"/>
      <c r="B1634" s="1"/>
      <c r="C1634" s="17"/>
      <c r="D1634" s="17" t="s">
        <v>468</v>
      </c>
      <c r="E1634" s="17">
        <v>4</v>
      </c>
      <c r="F1634" s="32">
        <v>4</v>
      </c>
      <c r="G1634" s="6">
        <v>3</v>
      </c>
      <c r="H1634" s="6">
        <v>1</v>
      </c>
      <c r="I1634" s="6">
        <v>3</v>
      </c>
      <c r="J1634" s="6">
        <v>3</v>
      </c>
      <c r="K1634" s="6">
        <v>3</v>
      </c>
      <c r="L1634" s="6">
        <v>3</v>
      </c>
      <c r="M1634" s="6">
        <v>3</v>
      </c>
      <c r="N1634" s="6">
        <v>3</v>
      </c>
      <c r="O1634" s="31">
        <v>3</v>
      </c>
      <c r="P1634" s="32">
        <f t="shared" si="266"/>
        <v>1</v>
      </c>
      <c r="Q1634" s="6">
        <f t="shared" si="267"/>
        <v>3</v>
      </c>
      <c r="R1634" s="59">
        <f t="shared" si="268"/>
        <v>0.75</v>
      </c>
      <c r="S1634" s="1"/>
      <c r="T1634" s="1"/>
      <c r="U1634" s="1"/>
    </row>
    <row r="1635" spans="1:21" ht="9.75" customHeight="1" x14ac:dyDescent="0.4">
      <c r="A1635" s="1"/>
      <c r="B1635" s="1"/>
      <c r="C1635" s="17"/>
      <c r="D1635" s="17" t="s">
        <v>469</v>
      </c>
      <c r="E1635" s="17">
        <v>2</v>
      </c>
      <c r="F1635" s="32">
        <v>2</v>
      </c>
      <c r="G1635" s="6">
        <v>2</v>
      </c>
      <c r="H1635" s="6">
        <v>2</v>
      </c>
      <c r="I1635" s="6">
        <v>1</v>
      </c>
      <c r="J1635" s="6">
        <v>1</v>
      </c>
      <c r="K1635" s="6">
        <v>1</v>
      </c>
      <c r="L1635" s="6">
        <v>1</v>
      </c>
      <c r="M1635" s="6">
        <v>1</v>
      </c>
      <c r="N1635" s="6">
        <v>1</v>
      </c>
      <c r="O1635" s="31">
        <v>1</v>
      </c>
      <c r="P1635" s="32">
        <f t="shared" si="266"/>
        <v>1</v>
      </c>
      <c r="Q1635" s="6">
        <f t="shared" si="267"/>
        <v>1</v>
      </c>
      <c r="R1635" s="59">
        <f t="shared" si="268"/>
        <v>0.5</v>
      </c>
      <c r="S1635" s="1"/>
      <c r="T1635" s="1"/>
      <c r="U1635" s="1"/>
    </row>
    <row r="1636" spans="1:21" ht="9.75" customHeight="1" x14ac:dyDescent="0.4">
      <c r="A1636" s="1"/>
      <c r="B1636" s="1"/>
      <c r="C1636" s="17"/>
      <c r="D1636" s="17" t="s">
        <v>429</v>
      </c>
      <c r="E1636" s="17">
        <v>7</v>
      </c>
      <c r="F1636" s="32">
        <v>3</v>
      </c>
      <c r="G1636" s="6">
        <v>2</v>
      </c>
      <c r="H1636" s="6">
        <v>1</v>
      </c>
      <c r="I1636" s="6">
        <v>0</v>
      </c>
      <c r="J1636" s="6">
        <v>0</v>
      </c>
      <c r="K1636" s="6">
        <v>0</v>
      </c>
      <c r="L1636" s="6">
        <v>0</v>
      </c>
      <c r="M1636" s="6">
        <v>1</v>
      </c>
      <c r="N1636" s="6">
        <v>4</v>
      </c>
      <c r="O1636" s="31">
        <v>3</v>
      </c>
      <c r="P1636" s="32">
        <f t="shared" si="266"/>
        <v>0</v>
      </c>
      <c r="Q1636" s="6">
        <f t="shared" si="267"/>
        <v>7</v>
      </c>
      <c r="R1636" s="59">
        <f t="shared" si="268"/>
        <v>1</v>
      </c>
      <c r="S1636" s="1"/>
      <c r="T1636" s="1"/>
      <c r="U1636" s="1"/>
    </row>
    <row r="1637" spans="1:21" ht="9.75" customHeight="1" x14ac:dyDescent="0.4">
      <c r="A1637" s="1"/>
      <c r="B1637" s="1"/>
      <c r="C1637" s="17"/>
      <c r="D1637" s="17" t="s">
        <v>372</v>
      </c>
      <c r="E1637" s="17">
        <v>4</v>
      </c>
      <c r="F1637" s="32">
        <v>2</v>
      </c>
      <c r="G1637" s="6">
        <v>0</v>
      </c>
      <c r="H1637" s="6">
        <v>0</v>
      </c>
      <c r="I1637" s="6">
        <v>0</v>
      </c>
      <c r="J1637" s="6">
        <v>2</v>
      </c>
      <c r="K1637" s="6">
        <v>0</v>
      </c>
      <c r="L1637" s="6">
        <v>0</v>
      </c>
      <c r="M1637" s="6">
        <v>0</v>
      </c>
      <c r="N1637" s="6">
        <v>2</v>
      </c>
      <c r="O1637" s="31">
        <v>2</v>
      </c>
      <c r="P1637" s="32">
        <f t="shared" si="266"/>
        <v>0</v>
      </c>
      <c r="Q1637" s="6">
        <f t="shared" si="267"/>
        <v>4</v>
      </c>
      <c r="R1637" s="59">
        <f t="shared" si="268"/>
        <v>1</v>
      </c>
      <c r="S1637" s="1"/>
      <c r="T1637" s="1"/>
      <c r="U1637" s="1"/>
    </row>
    <row r="1638" spans="1:21" ht="9.75" customHeight="1" x14ac:dyDescent="0.4">
      <c r="A1638" s="1"/>
      <c r="B1638" s="1"/>
      <c r="C1638" s="17"/>
      <c r="D1638" s="17" t="s">
        <v>377</v>
      </c>
      <c r="E1638" s="17"/>
      <c r="F1638" s="32"/>
      <c r="G1638" s="6"/>
      <c r="H1638" s="6"/>
      <c r="I1638" s="6"/>
      <c r="J1638" s="6"/>
      <c r="K1638" s="6"/>
      <c r="L1638" s="6"/>
      <c r="M1638" s="6"/>
      <c r="N1638" s="6"/>
      <c r="O1638" s="31"/>
      <c r="P1638" s="32"/>
      <c r="Q1638" s="6"/>
      <c r="R1638" s="59"/>
      <c r="S1638" s="1"/>
      <c r="T1638" s="1"/>
      <c r="U1638" s="1"/>
    </row>
    <row r="1639" spans="1:21" ht="9.75" customHeight="1" x14ac:dyDescent="0.4">
      <c r="A1639" s="1"/>
      <c r="B1639" s="1"/>
      <c r="C1639" s="17"/>
      <c r="D1639" s="17" t="s">
        <v>374</v>
      </c>
      <c r="E1639" s="17"/>
      <c r="F1639" s="32"/>
      <c r="G1639" s="6"/>
      <c r="H1639" s="6"/>
      <c r="I1639" s="6"/>
      <c r="J1639" s="6"/>
      <c r="K1639" s="6"/>
      <c r="L1639" s="6"/>
      <c r="M1639" s="6"/>
      <c r="N1639" s="6"/>
      <c r="O1639" s="31"/>
      <c r="P1639" s="32"/>
      <c r="Q1639" s="6"/>
      <c r="R1639" s="59"/>
      <c r="S1639" s="1"/>
      <c r="T1639" s="1"/>
      <c r="U1639" s="1"/>
    </row>
    <row r="1640" spans="1:21" ht="9.75" customHeight="1" x14ac:dyDescent="0.4">
      <c r="A1640" s="1"/>
      <c r="B1640" s="1"/>
      <c r="C1640" s="17"/>
      <c r="D1640" s="17" t="s">
        <v>374</v>
      </c>
      <c r="E1640" s="17"/>
      <c r="F1640" s="32"/>
      <c r="G1640" s="6"/>
      <c r="H1640" s="6"/>
      <c r="I1640" s="6"/>
      <c r="J1640" s="6"/>
      <c r="K1640" s="6"/>
      <c r="L1640" s="6"/>
      <c r="M1640" s="6"/>
      <c r="N1640" s="6"/>
      <c r="O1640" s="31"/>
      <c r="P1640" s="32"/>
      <c r="Q1640" s="6"/>
      <c r="R1640" s="59"/>
      <c r="S1640" s="1"/>
      <c r="T1640" s="1"/>
      <c r="U1640" s="1"/>
    </row>
    <row r="1641" spans="1:21" ht="9.75" customHeight="1" x14ac:dyDescent="0.4">
      <c r="A1641" s="1"/>
      <c r="B1641" s="1"/>
      <c r="C1641" s="17"/>
      <c r="D1641" s="17" t="s">
        <v>310</v>
      </c>
      <c r="E1641" s="17">
        <v>4</v>
      </c>
      <c r="F1641" s="32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1</v>
      </c>
      <c r="M1641" s="6">
        <v>1</v>
      </c>
      <c r="N1641" s="6">
        <v>3</v>
      </c>
      <c r="O1641" s="31">
        <v>3</v>
      </c>
      <c r="P1641" s="32">
        <f t="shared" ref="P1641:P1642" si="269">MIN(F1641:O1641)</f>
        <v>0</v>
      </c>
      <c r="Q1641" s="6">
        <f t="shared" ref="Q1641:Q1642" si="270">E1641-P1641</f>
        <v>4</v>
      </c>
      <c r="R1641" s="59">
        <f t="shared" ref="R1641:R1642" si="271">Q1641/E1641</f>
        <v>1</v>
      </c>
      <c r="S1641" s="1"/>
      <c r="T1641" s="1"/>
      <c r="U1641" s="1"/>
    </row>
    <row r="1642" spans="1:21" ht="9.75" customHeight="1" x14ac:dyDescent="0.4">
      <c r="A1642" s="1"/>
      <c r="B1642" s="1"/>
      <c r="C1642" s="17"/>
      <c r="D1642" s="17" t="s">
        <v>311</v>
      </c>
      <c r="E1642" s="17">
        <v>2</v>
      </c>
      <c r="F1642" s="32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31">
        <v>0</v>
      </c>
      <c r="P1642" s="32">
        <f t="shared" si="269"/>
        <v>0</v>
      </c>
      <c r="Q1642" s="6">
        <f t="shared" si="270"/>
        <v>2</v>
      </c>
      <c r="R1642" s="59">
        <f t="shared" si="271"/>
        <v>1</v>
      </c>
      <c r="S1642" s="1"/>
      <c r="T1642" s="1"/>
      <c r="U1642" s="1"/>
    </row>
    <row r="1643" spans="1:21" ht="9.75" customHeight="1" x14ac:dyDescent="0.4">
      <c r="A1643" s="1"/>
      <c r="B1643" s="1"/>
      <c r="C1643" s="17"/>
      <c r="D1643" s="17" t="s">
        <v>312</v>
      </c>
      <c r="E1643" s="17"/>
      <c r="F1643" s="32"/>
      <c r="G1643" s="6"/>
      <c r="H1643" s="6"/>
      <c r="I1643" s="6"/>
      <c r="J1643" s="6"/>
      <c r="K1643" s="6"/>
      <c r="L1643" s="6"/>
      <c r="M1643" s="6"/>
      <c r="N1643" s="6"/>
      <c r="O1643" s="31"/>
      <c r="P1643" s="32"/>
      <c r="Q1643" s="6"/>
      <c r="R1643" s="59"/>
      <c r="S1643" s="1"/>
      <c r="T1643" s="1"/>
      <c r="U1643" s="1"/>
    </row>
    <row r="1644" spans="1:21" ht="9.75" customHeight="1" x14ac:dyDescent="0.4">
      <c r="A1644" s="1"/>
      <c r="B1644" s="1"/>
      <c r="C1644" s="17"/>
      <c r="D1644" s="17" t="s">
        <v>313</v>
      </c>
      <c r="E1644" s="17"/>
      <c r="F1644" s="32"/>
      <c r="G1644" s="6"/>
      <c r="H1644" s="6"/>
      <c r="I1644" s="6"/>
      <c r="J1644" s="6"/>
      <c r="K1644" s="6"/>
      <c r="L1644" s="6"/>
      <c r="M1644" s="6"/>
      <c r="N1644" s="6"/>
      <c r="O1644" s="31"/>
      <c r="P1644" s="32"/>
      <c r="Q1644" s="6"/>
      <c r="R1644" s="59"/>
      <c r="S1644" s="1"/>
      <c r="T1644" s="1"/>
      <c r="U1644" s="1"/>
    </row>
    <row r="1645" spans="1:21" ht="9.75" customHeight="1" x14ac:dyDescent="0.4">
      <c r="A1645" s="1"/>
      <c r="B1645" s="1" t="s">
        <v>395</v>
      </c>
      <c r="C1645" s="34"/>
      <c r="D1645" s="65" t="s">
        <v>314</v>
      </c>
      <c r="E1645" s="65">
        <f t="shared" ref="E1645:O1645" si="272">SUM(E1627:E1644)</f>
        <v>228</v>
      </c>
      <c r="F1645" s="70">
        <f t="shared" si="272"/>
        <v>107</v>
      </c>
      <c r="G1645" s="128">
        <f t="shared" si="272"/>
        <v>70</v>
      </c>
      <c r="H1645" s="128">
        <f t="shared" si="272"/>
        <v>75</v>
      </c>
      <c r="I1645" s="128">
        <f t="shared" si="272"/>
        <v>56</v>
      </c>
      <c r="J1645" s="128">
        <f t="shared" si="272"/>
        <v>60</v>
      </c>
      <c r="K1645" s="128">
        <f t="shared" si="272"/>
        <v>60</v>
      </c>
      <c r="L1645" s="128">
        <f t="shared" si="272"/>
        <v>69</v>
      </c>
      <c r="M1645" s="128">
        <f t="shared" si="272"/>
        <v>82</v>
      </c>
      <c r="N1645" s="128">
        <f t="shared" si="272"/>
        <v>102</v>
      </c>
      <c r="O1645" s="129">
        <f t="shared" si="272"/>
        <v>108</v>
      </c>
      <c r="P1645" s="70">
        <f t="shared" ref="P1645:P1646" si="273">MIN(F1645:O1645)</f>
        <v>56</v>
      </c>
      <c r="Q1645" s="71">
        <f t="shared" ref="Q1645:Q1646" si="274">E1645-P1645</f>
        <v>172</v>
      </c>
      <c r="R1645" s="72">
        <f t="shared" ref="R1645:R1646" si="275">Q1645/E1645</f>
        <v>0.75438596491228072</v>
      </c>
      <c r="S1645" s="1"/>
      <c r="T1645" s="1"/>
      <c r="U1645" s="1"/>
    </row>
    <row r="1646" spans="1:21" ht="9.75" customHeight="1" x14ac:dyDescent="0.4">
      <c r="A1646" s="1"/>
      <c r="B1646" s="1"/>
      <c r="C1646" s="15" t="s">
        <v>101</v>
      </c>
      <c r="D1646" s="15" t="s">
        <v>300</v>
      </c>
      <c r="E1646" s="15">
        <v>23</v>
      </c>
      <c r="F1646" s="73">
        <v>3</v>
      </c>
      <c r="G1646" s="108">
        <v>2</v>
      </c>
      <c r="H1646" s="108">
        <v>0</v>
      </c>
      <c r="I1646" s="108">
        <v>1</v>
      </c>
      <c r="J1646" s="108">
        <v>1</v>
      </c>
      <c r="K1646" s="108">
        <v>1</v>
      </c>
      <c r="L1646" s="108">
        <v>1</v>
      </c>
      <c r="M1646" s="108">
        <v>2</v>
      </c>
      <c r="N1646" s="108">
        <v>4</v>
      </c>
      <c r="O1646" s="109">
        <v>3</v>
      </c>
      <c r="P1646" s="73">
        <f t="shared" si="273"/>
        <v>0</v>
      </c>
      <c r="Q1646" s="108">
        <f t="shared" si="274"/>
        <v>23</v>
      </c>
      <c r="R1646" s="188">
        <f t="shared" si="275"/>
        <v>1</v>
      </c>
      <c r="S1646" s="1"/>
      <c r="T1646" s="1"/>
      <c r="U1646" s="1"/>
    </row>
    <row r="1647" spans="1:21" ht="9.75" customHeight="1" x14ac:dyDescent="0.4">
      <c r="A1647" s="1"/>
      <c r="B1647" s="1"/>
      <c r="C1647" s="17"/>
      <c r="D1647" s="17" t="s">
        <v>301</v>
      </c>
      <c r="E1647" s="17"/>
      <c r="F1647" s="32"/>
      <c r="G1647" s="6"/>
      <c r="H1647" s="6"/>
      <c r="I1647" s="6"/>
      <c r="J1647" s="6"/>
      <c r="K1647" s="6"/>
      <c r="L1647" s="6"/>
      <c r="M1647" s="6"/>
      <c r="N1647" s="6"/>
      <c r="O1647" s="31"/>
      <c r="P1647" s="32"/>
      <c r="Q1647" s="6"/>
      <c r="R1647" s="59"/>
      <c r="S1647" s="1"/>
      <c r="T1647" s="1"/>
      <c r="U1647" s="1"/>
    </row>
    <row r="1648" spans="1:21" ht="9.75" customHeight="1" x14ac:dyDescent="0.4">
      <c r="A1648" s="1"/>
      <c r="B1648" s="1"/>
      <c r="C1648" s="17"/>
      <c r="D1648" s="17" t="s">
        <v>303</v>
      </c>
      <c r="E1648" s="17"/>
      <c r="F1648" s="32"/>
      <c r="G1648" s="6"/>
      <c r="H1648" s="6"/>
      <c r="I1648" s="6"/>
      <c r="J1648" s="6"/>
      <c r="K1648" s="6"/>
      <c r="L1648" s="6"/>
      <c r="M1648" s="6"/>
      <c r="N1648" s="6"/>
      <c r="O1648" s="31"/>
      <c r="P1648" s="32"/>
      <c r="Q1648" s="6"/>
      <c r="R1648" s="59"/>
      <c r="S1648" s="1"/>
      <c r="T1648" s="1"/>
      <c r="U1648" s="1"/>
    </row>
    <row r="1649" spans="1:21" ht="9.75" customHeight="1" x14ac:dyDescent="0.4">
      <c r="A1649" s="1"/>
      <c r="B1649" s="1"/>
      <c r="C1649" s="17"/>
      <c r="D1649" s="17" t="s">
        <v>421</v>
      </c>
      <c r="E1649" s="17">
        <f>25+9</f>
        <v>34</v>
      </c>
      <c r="F1649" s="32">
        <v>14</v>
      </c>
      <c r="G1649" s="6">
        <v>9</v>
      </c>
      <c r="H1649" s="6">
        <v>6</v>
      </c>
      <c r="I1649" s="6">
        <v>4</v>
      </c>
      <c r="J1649" s="6">
        <v>2</v>
      </c>
      <c r="K1649" s="6">
        <v>3</v>
      </c>
      <c r="L1649" s="6">
        <v>3</v>
      </c>
      <c r="M1649" s="6">
        <v>8</v>
      </c>
      <c r="N1649" s="6">
        <v>14</v>
      </c>
      <c r="O1649" s="31">
        <v>13</v>
      </c>
      <c r="P1649" s="32">
        <f>MIN(F1649:O1649)</f>
        <v>2</v>
      </c>
      <c r="Q1649" s="6">
        <f>E1649-P1649</f>
        <v>32</v>
      </c>
      <c r="R1649" s="59">
        <f>Q1649/E1649</f>
        <v>0.94117647058823528</v>
      </c>
      <c r="S1649" s="1"/>
      <c r="T1649" s="1"/>
      <c r="U1649" s="1"/>
    </row>
    <row r="1650" spans="1:21" ht="9.75" customHeight="1" x14ac:dyDescent="0.4">
      <c r="A1650" s="1"/>
      <c r="B1650" s="1"/>
      <c r="C1650" s="17"/>
      <c r="D1650" s="17" t="s">
        <v>369</v>
      </c>
      <c r="E1650" s="17"/>
      <c r="F1650" s="32"/>
      <c r="G1650" s="6"/>
      <c r="H1650" s="6"/>
      <c r="I1650" s="6"/>
      <c r="J1650" s="6"/>
      <c r="K1650" s="6"/>
      <c r="L1650" s="6"/>
      <c r="M1650" s="6"/>
      <c r="N1650" s="6"/>
      <c r="O1650" s="31"/>
      <c r="P1650" s="32"/>
      <c r="Q1650" s="6"/>
      <c r="R1650" s="59"/>
      <c r="S1650" s="1"/>
      <c r="T1650" s="1"/>
      <c r="U1650" s="1"/>
    </row>
    <row r="1651" spans="1:21" ht="9.75" customHeight="1" x14ac:dyDescent="0.4">
      <c r="A1651" s="1"/>
      <c r="B1651" s="1"/>
      <c r="C1651" s="17"/>
      <c r="D1651" s="17" t="s">
        <v>308</v>
      </c>
      <c r="E1651" s="17">
        <f>5+16+1+18+3+1</f>
        <v>44</v>
      </c>
      <c r="F1651" s="32">
        <v>33</v>
      </c>
      <c r="G1651" s="6">
        <v>33</v>
      </c>
      <c r="H1651" s="6">
        <v>26</v>
      </c>
      <c r="I1651" s="6">
        <v>22</v>
      </c>
      <c r="J1651" s="6">
        <v>21</v>
      </c>
      <c r="K1651" s="6">
        <v>23</v>
      </c>
      <c r="L1651" s="6">
        <v>23</v>
      </c>
      <c r="M1651" s="6">
        <v>28</v>
      </c>
      <c r="N1651" s="6">
        <v>30</v>
      </c>
      <c r="O1651" s="31">
        <v>32</v>
      </c>
      <c r="P1651" s="32">
        <f>MIN(F1651:O1651)</f>
        <v>21</v>
      </c>
      <c r="Q1651" s="6">
        <f>E1651-P1651</f>
        <v>23</v>
      </c>
      <c r="R1651" s="59">
        <f>Q1651/E1651</f>
        <v>0.52272727272727271</v>
      </c>
      <c r="S1651" s="1"/>
      <c r="T1651" s="1"/>
      <c r="U1651" s="1"/>
    </row>
    <row r="1652" spans="1:21" ht="9.75" customHeight="1" x14ac:dyDescent="0.4">
      <c r="A1652" s="1"/>
      <c r="B1652" s="1"/>
      <c r="C1652" s="17"/>
      <c r="D1652" s="17" t="s">
        <v>470</v>
      </c>
      <c r="E1652" s="17"/>
      <c r="F1652" s="32"/>
      <c r="G1652" s="6"/>
      <c r="H1652" s="6"/>
      <c r="I1652" s="6"/>
      <c r="J1652" s="6"/>
      <c r="K1652" s="6"/>
      <c r="L1652" s="6"/>
      <c r="M1652" s="6"/>
      <c r="N1652" s="6"/>
      <c r="O1652" s="31"/>
      <c r="P1652" s="32"/>
      <c r="Q1652" s="6"/>
      <c r="R1652" s="59"/>
      <c r="S1652" s="1"/>
      <c r="T1652" s="1"/>
      <c r="U1652" s="1"/>
    </row>
    <row r="1653" spans="1:21" ht="9.75" customHeight="1" x14ac:dyDescent="0.4">
      <c r="A1653" s="1"/>
      <c r="B1653" s="1"/>
      <c r="C1653" s="17"/>
      <c r="D1653" s="17" t="s">
        <v>470</v>
      </c>
      <c r="E1653" s="17"/>
      <c r="F1653" s="32"/>
      <c r="G1653" s="6"/>
      <c r="H1653" s="6"/>
      <c r="I1653" s="6"/>
      <c r="J1653" s="6"/>
      <c r="K1653" s="6"/>
      <c r="L1653" s="6"/>
      <c r="M1653" s="6"/>
      <c r="N1653" s="6"/>
      <c r="O1653" s="31"/>
      <c r="P1653" s="32"/>
      <c r="Q1653" s="6"/>
      <c r="R1653" s="59"/>
      <c r="S1653" s="1"/>
      <c r="T1653" s="1"/>
      <c r="U1653" s="1"/>
    </row>
    <row r="1654" spans="1:21" ht="9.75" customHeight="1" x14ac:dyDescent="0.4">
      <c r="A1654" s="1"/>
      <c r="B1654" s="1"/>
      <c r="C1654" s="17"/>
      <c r="D1654" s="17" t="s">
        <v>374</v>
      </c>
      <c r="E1654" s="17"/>
      <c r="F1654" s="32"/>
      <c r="G1654" s="6"/>
      <c r="H1654" s="6"/>
      <c r="I1654" s="6"/>
      <c r="J1654" s="6"/>
      <c r="K1654" s="6"/>
      <c r="L1654" s="6"/>
      <c r="M1654" s="6"/>
      <c r="N1654" s="6"/>
      <c r="O1654" s="31"/>
      <c r="P1654" s="32"/>
      <c r="Q1654" s="6"/>
      <c r="R1654" s="59"/>
      <c r="S1654" s="1"/>
      <c r="T1654" s="1"/>
      <c r="U1654" s="1"/>
    </row>
    <row r="1655" spans="1:21" ht="9.75" customHeight="1" x14ac:dyDescent="0.4">
      <c r="A1655" s="1"/>
      <c r="B1655" s="1"/>
      <c r="C1655" s="17"/>
      <c r="D1655" s="17" t="s">
        <v>374</v>
      </c>
      <c r="E1655" s="17"/>
      <c r="F1655" s="32"/>
      <c r="G1655" s="6"/>
      <c r="H1655" s="6"/>
      <c r="I1655" s="6"/>
      <c r="J1655" s="6"/>
      <c r="K1655" s="6"/>
      <c r="L1655" s="6"/>
      <c r="M1655" s="6"/>
      <c r="N1655" s="6"/>
      <c r="O1655" s="31"/>
      <c r="P1655" s="32"/>
      <c r="Q1655" s="6"/>
      <c r="R1655" s="59"/>
      <c r="S1655" s="1"/>
      <c r="T1655" s="1"/>
      <c r="U1655" s="1"/>
    </row>
    <row r="1656" spans="1:21" ht="9.75" customHeight="1" x14ac:dyDescent="0.4">
      <c r="A1656" s="1"/>
      <c r="B1656" s="1"/>
      <c r="C1656" s="17"/>
      <c r="D1656" s="17" t="s">
        <v>374</v>
      </c>
      <c r="E1656" s="17"/>
      <c r="F1656" s="32"/>
      <c r="G1656" s="6"/>
      <c r="H1656" s="6"/>
      <c r="I1656" s="6"/>
      <c r="J1656" s="6"/>
      <c r="K1656" s="6"/>
      <c r="L1656" s="6"/>
      <c r="M1656" s="6"/>
      <c r="N1656" s="6"/>
      <c r="O1656" s="31"/>
      <c r="P1656" s="32"/>
      <c r="Q1656" s="6"/>
      <c r="R1656" s="59"/>
      <c r="S1656" s="1"/>
      <c r="T1656" s="1"/>
      <c r="U1656" s="1"/>
    </row>
    <row r="1657" spans="1:21" ht="9.75" customHeight="1" x14ac:dyDescent="0.4">
      <c r="A1657" s="1"/>
      <c r="B1657" s="1"/>
      <c r="C1657" s="17"/>
      <c r="D1657" s="17" t="s">
        <v>374</v>
      </c>
      <c r="E1657" s="17"/>
      <c r="F1657" s="32"/>
      <c r="G1657" s="6"/>
      <c r="H1657" s="6"/>
      <c r="I1657" s="6"/>
      <c r="J1657" s="6"/>
      <c r="K1657" s="6"/>
      <c r="L1657" s="6"/>
      <c r="M1657" s="6"/>
      <c r="N1657" s="6"/>
      <c r="O1657" s="31"/>
      <c r="P1657" s="32"/>
      <c r="Q1657" s="6"/>
      <c r="R1657" s="59"/>
      <c r="S1657" s="1"/>
      <c r="T1657" s="1"/>
      <c r="U1657" s="1"/>
    </row>
    <row r="1658" spans="1:21" ht="9.75" customHeight="1" x14ac:dyDescent="0.4">
      <c r="A1658" s="1"/>
      <c r="B1658" s="1"/>
      <c r="C1658" s="17"/>
      <c r="D1658" s="17" t="s">
        <v>374</v>
      </c>
      <c r="E1658" s="17"/>
      <c r="F1658" s="32"/>
      <c r="G1658" s="6"/>
      <c r="H1658" s="6"/>
      <c r="I1658" s="6"/>
      <c r="J1658" s="6"/>
      <c r="K1658" s="6"/>
      <c r="L1658" s="6"/>
      <c r="M1658" s="6"/>
      <c r="N1658" s="6"/>
      <c r="O1658" s="31"/>
      <c r="P1658" s="32"/>
      <c r="Q1658" s="6"/>
      <c r="R1658" s="59"/>
      <c r="S1658" s="1"/>
      <c r="T1658" s="1"/>
      <c r="U1658" s="1"/>
    </row>
    <row r="1659" spans="1:21" ht="9.75" customHeight="1" x14ac:dyDescent="0.4">
      <c r="A1659" s="1"/>
      <c r="B1659" s="1"/>
      <c r="C1659" s="17"/>
      <c r="D1659" s="17" t="s">
        <v>374</v>
      </c>
      <c r="E1659" s="17"/>
      <c r="F1659" s="32"/>
      <c r="G1659" s="6"/>
      <c r="H1659" s="6"/>
      <c r="I1659" s="6"/>
      <c r="J1659" s="6"/>
      <c r="K1659" s="6"/>
      <c r="L1659" s="6"/>
      <c r="M1659" s="6"/>
      <c r="N1659" s="6"/>
      <c r="O1659" s="31"/>
      <c r="P1659" s="32"/>
      <c r="Q1659" s="6"/>
      <c r="R1659" s="59"/>
      <c r="S1659" s="1"/>
      <c r="T1659" s="1"/>
      <c r="U1659" s="1"/>
    </row>
    <row r="1660" spans="1:21" ht="9.75" customHeight="1" x14ac:dyDescent="0.4">
      <c r="A1660" s="1"/>
      <c r="B1660" s="1"/>
      <c r="C1660" s="17"/>
      <c r="D1660" s="17" t="s">
        <v>310</v>
      </c>
      <c r="E1660" s="17">
        <v>18</v>
      </c>
      <c r="F1660" s="32">
        <v>3</v>
      </c>
      <c r="G1660" s="6">
        <v>2</v>
      </c>
      <c r="H1660" s="6">
        <v>1</v>
      </c>
      <c r="I1660" s="6">
        <v>1</v>
      </c>
      <c r="J1660" s="6">
        <v>2</v>
      </c>
      <c r="K1660" s="6">
        <v>1</v>
      </c>
      <c r="L1660" s="6">
        <v>5</v>
      </c>
      <c r="M1660" s="6">
        <v>10</v>
      </c>
      <c r="N1660" s="6">
        <v>14</v>
      </c>
      <c r="O1660" s="31">
        <v>17</v>
      </c>
      <c r="P1660" s="32">
        <f>MIN(F1660:O1660)</f>
        <v>1</v>
      </c>
      <c r="Q1660" s="6">
        <f>E1660-P1660</f>
        <v>17</v>
      </c>
      <c r="R1660" s="59">
        <f>Q1660/E1660</f>
        <v>0.94444444444444442</v>
      </c>
      <c r="S1660" s="1"/>
      <c r="T1660" s="1"/>
      <c r="U1660" s="1"/>
    </row>
    <row r="1661" spans="1:21" ht="9.75" customHeight="1" x14ac:dyDescent="0.4">
      <c r="A1661" s="1"/>
      <c r="B1661" s="1"/>
      <c r="C1661" s="17"/>
      <c r="D1661" s="17" t="s">
        <v>311</v>
      </c>
      <c r="E1661" s="17"/>
      <c r="F1661" s="32"/>
      <c r="G1661" s="6"/>
      <c r="H1661" s="6"/>
      <c r="I1661" s="6"/>
      <c r="J1661" s="6"/>
      <c r="K1661" s="6"/>
      <c r="L1661" s="6"/>
      <c r="M1661" s="6"/>
      <c r="N1661" s="6"/>
      <c r="O1661" s="31"/>
      <c r="P1661" s="32"/>
      <c r="Q1661" s="6"/>
      <c r="R1661" s="59"/>
      <c r="S1661" s="1"/>
      <c r="T1661" s="1"/>
      <c r="U1661" s="1"/>
    </row>
    <row r="1662" spans="1:21" ht="9.75" customHeight="1" x14ac:dyDescent="0.4">
      <c r="A1662" s="1"/>
      <c r="B1662" s="1"/>
      <c r="C1662" s="17"/>
      <c r="D1662" s="17" t="s">
        <v>312</v>
      </c>
      <c r="E1662" s="17">
        <v>2</v>
      </c>
      <c r="F1662" s="32">
        <v>1</v>
      </c>
      <c r="G1662" s="6">
        <v>1</v>
      </c>
      <c r="H1662" s="6">
        <v>0</v>
      </c>
      <c r="I1662" s="6">
        <v>0</v>
      </c>
      <c r="J1662" s="6">
        <v>0</v>
      </c>
      <c r="K1662" s="6">
        <v>0</v>
      </c>
      <c r="L1662" s="6">
        <v>1</v>
      </c>
      <c r="M1662" s="6">
        <v>1</v>
      </c>
      <c r="N1662" s="6">
        <v>2</v>
      </c>
      <c r="O1662" s="31">
        <v>2</v>
      </c>
      <c r="P1662" s="32">
        <f t="shared" ref="P1662:P1664" si="276">MIN(F1662:O1662)</f>
        <v>0</v>
      </c>
      <c r="Q1662" s="6">
        <f t="shared" ref="Q1662:Q1664" si="277">E1662-P1662</f>
        <v>2</v>
      </c>
      <c r="R1662" s="59">
        <f t="shared" ref="R1662:R1664" si="278">Q1662/E1662</f>
        <v>1</v>
      </c>
      <c r="S1662" s="1"/>
      <c r="T1662" s="1"/>
      <c r="U1662" s="1"/>
    </row>
    <row r="1663" spans="1:21" ht="9.75" customHeight="1" x14ac:dyDescent="0.4">
      <c r="A1663" s="1"/>
      <c r="B1663" s="1"/>
      <c r="C1663" s="17"/>
      <c r="D1663" s="17" t="s">
        <v>313</v>
      </c>
      <c r="E1663" s="17">
        <v>5</v>
      </c>
      <c r="F1663" s="32">
        <v>3</v>
      </c>
      <c r="G1663" s="6">
        <v>2</v>
      </c>
      <c r="H1663" s="6">
        <v>1</v>
      </c>
      <c r="I1663" s="6">
        <v>1</v>
      </c>
      <c r="J1663" s="6">
        <v>0</v>
      </c>
      <c r="K1663" s="6">
        <v>2</v>
      </c>
      <c r="L1663" s="6">
        <v>0</v>
      </c>
      <c r="M1663" s="6">
        <v>2</v>
      </c>
      <c r="N1663" s="6">
        <v>3</v>
      </c>
      <c r="O1663" s="31">
        <v>5</v>
      </c>
      <c r="P1663" s="32">
        <f t="shared" si="276"/>
        <v>0</v>
      </c>
      <c r="Q1663" s="6">
        <f t="shared" si="277"/>
        <v>5</v>
      </c>
      <c r="R1663" s="59">
        <f t="shared" si="278"/>
        <v>1</v>
      </c>
      <c r="S1663" s="1"/>
      <c r="T1663" s="1"/>
      <c r="U1663" s="1"/>
    </row>
    <row r="1664" spans="1:21" ht="9.75" customHeight="1" x14ac:dyDescent="0.4">
      <c r="A1664" s="1"/>
      <c r="B1664" s="1" t="s">
        <v>395</v>
      </c>
      <c r="C1664" s="34"/>
      <c r="D1664" s="65" t="s">
        <v>314</v>
      </c>
      <c r="E1664" s="65">
        <f t="shared" ref="E1664:O1664" si="279">SUM(E1646:E1663)</f>
        <v>126</v>
      </c>
      <c r="F1664" s="104">
        <f t="shared" si="279"/>
        <v>57</v>
      </c>
      <c r="G1664" s="128">
        <f t="shared" si="279"/>
        <v>49</v>
      </c>
      <c r="H1664" s="128">
        <f t="shared" si="279"/>
        <v>34</v>
      </c>
      <c r="I1664" s="128">
        <f t="shared" si="279"/>
        <v>29</v>
      </c>
      <c r="J1664" s="128">
        <f t="shared" si="279"/>
        <v>26</v>
      </c>
      <c r="K1664" s="128">
        <f t="shared" si="279"/>
        <v>30</v>
      </c>
      <c r="L1664" s="128">
        <f t="shared" si="279"/>
        <v>33</v>
      </c>
      <c r="M1664" s="128">
        <f t="shared" si="279"/>
        <v>51</v>
      </c>
      <c r="N1664" s="128">
        <f t="shared" si="279"/>
        <v>67</v>
      </c>
      <c r="O1664" s="129">
        <f t="shared" si="279"/>
        <v>72</v>
      </c>
      <c r="P1664" s="104">
        <f t="shared" si="276"/>
        <v>26</v>
      </c>
      <c r="Q1664" s="128">
        <f t="shared" si="277"/>
        <v>100</v>
      </c>
      <c r="R1664" s="72">
        <f t="shared" si="278"/>
        <v>0.79365079365079361</v>
      </c>
      <c r="S1664" s="1"/>
      <c r="T1664" s="1"/>
      <c r="U1664" s="1"/>
    </row>
    <row r="1665" spans="1:21" ht="9.75" customHeight="1" x14ac:dyDescent="0.4">
      <c r="A1665" s="1"/>
      <c r="B1665" s="1"/>
      <c r="C1665" s="17" t="s">
        <v>119</v>
      </c>
      <c r="D1665" s="15" t="s">
        <v>300</v>
      </c>
      <c r="E1665" s="17"/>
      <c r="F1665" s="32"/>
      <c r="G1665" s="6"/>
      <c r="H1665" s="6"/>
      <c r="I1665" s="6"/>
      <c r="J1665" s="6"/>
      <c r="K1665" s="6"/>
      <c r="L1665" s="6"/>
      <c r="M1665" s="6"/>
      <c r="N1665" s="6"/>
      <c r="O1665" s="31"/>
      <c r="P1665" s="32"/>
      <c r="Q1665" s="6"/>
      <c r="R1665" s="59"/>
      <c r="S1665" s="1"/>
      <c r="T1665" s="1"/>
      <c r="U1665" s="1"/>
    </row>
    <row r="1666" spans="1:21" ht="10.5" customHeight="1" x14ac:dyDescent="0.4">
      <c r="A1666" s="1"/>
      <c r="B1666" s="1"/>
      <c r="C1666" s="17"/>
      <c r="D1666" s="17" t="s">
        <v>301</v>
      </c>
      <c r="E1666" s="17">
        <v>34</v>
      </c>
      <c r="F1666" s="32">
        <v>11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4</v>
      </c>
      <c r="N1666" s="6">
        <v>7</v>
      </c>
      <c r="O1666" s="31">
        <v>17</v>
      </c>
      <c r="P1666" s="32">
        <f>MIN(F1666:O1666)</f>
        <v>0</v>
      </c>
      <c r="Q1666" s="6">
        <f>E1666-P1666</f>
        <v>34</v>
      </c>
      <c r="R1666" s="59">
        <f>Q1666/E1666</f>
        <v>1</v>
      </c>
      <c r="S1666" s="1"/>
      <c r="T1666" s="1"/>
      <c r="U1666" s="1"/>
    </row>
    <row r="1667" spans="1:21" ht="10.5" customHeight="1" x14ac:dyDescent="0.4">
      <c r="A1667" s="1"/>
      <c r="B1667" s="1"/>
      <c r="C1667" s="17"/>
      <c r="D1667" s="17" t="s">
        <v>303</v>
      </c>
      <c r="E1667" s="17"/>
      <c r="F1667" s="32"/>
      <c r="G1667" s="6"/>
      <c r="H1667" s="6"/>
      <c r="I1667" s="6"/>
      <c r="J1667" s="6"/>
      <c r="K1667" s="6"/>
      <c r="L1667" s="6"/>
      <c r="M1667" s="6"/>
      <c r="N1667" s="6"/>
      <c r="O1667" s="31"/>
      <c r="P1667" s="32"/>
      <c r="Q1667" s="6"/>
      <c r="R1667" s="59"/>
      <c r="S1667" s="1"/>
      <c r="T1667" s="1"/>
      <c r="U1667" s="1"/>
    </row>
    <row r="1668" spans="1:21" ht="10.5" customHeight="1" x14ac:dyDescent="0.4">
      <c r="A1668" s="1"/>
      <c r="B1668" s="1"/>
      <c r="C1668" s="17"/>
      <c r="D1668" s="17" t="s">
        <v>369</v>
      </c>
      <c r="E1668" s="17"/>
      <c r="F1668" s="32"/>
      <c r="G1668" s="6"/>
      <c r="H1668" s="6"/>
      <c r="I1668" s="6"/>
      <c r="J1668" s="6"/>
      <c r="K1668" s="6"/>
      <c r="L1668" s="6"/>
      <c r="M1668" s="6"/>
      <c r="N1668" s="6"/>
      <c r="O1668" s="31"/>
      <c r="P1668" s="32"/>
      <c r="Q1668" s="6"/>
      <c r="R1668" s="59"/>
      <c r="S1668" s="1"/>
      <c r="T1668" s="1"/>
      <c r="U1668" s="1"/>
    </row>
    <row r="1669" spans="1:21" ht="10.5" customHeight="1" x14ac:dyDescent="0.4">
      <c r="A1669" s="1"/>
      <c r="B1669" s="1"/>
      <c r="C1669" s="17"/>
      <c r="D1669" s="17" t="s">
        <v>369</v>
      </c>
      <c r="E1669" s="17"/>
      <c r="F1669" s="32"/>
      <c r="G1669" s="6"/>
      <c r="H1669" s="6"/>
      <c r="I1669" s="6"/>
      <c r="J1669" s="6"/>
      <c r="K1669" s="6"/>
      <c r="L1669" s="6"/>
      <c r="M1669" s="6"/>
      <c r="N1669" s="6"/>
      <c r="O1669" s="31"/>
      <c r="P1669" s="32"/>
      <c r="Q1669" s="6"/>
      <c r="R1669" s="59"/>
      <c r="S1669" s="1"/>
      <c r="T1669" s="1"/>
      <c r="U1669" s="1"/>
    </row>
    <row r="1670" spans="1:21" ht="10.5" customHeight="1" x14ac:dyDescent="0.4">
      <c r="A1670" s="1"/>
      <c r="B1670" s="1"/>
      <c r="C1670" s="17"/>
      <c r="D1670" s="17" t="s">
        <v>308</v>
      </c>
      <c r="E1670" s="17"/>
      <c r="F1670" s="32"/>
      <c r="G1670" s="6"/>
      <c r="H1670" s="6"/>
      <c r="I1670" s="6"/>
      <c r="J1670" s="6"/>
      <c r="K1670" s="6"/>
      <c r="L1670" s="6"/>
      <c r="M1670" s="6"/>
      <c r="N1670" s="6"/>
      <c r="O1670" s="31"/>
      <c r="P1670" s="32"/>
      <c r="Q1670" s="6"/>
      <c r="R1670" s="59"/>
      <c r="S1670" s="1"/>
      <c r="T1670" s="1"/>
      <c r="U1670" s="1"/>
    </row>
    <row r="1671" spans="1:21" ht="10.5" customHeight="1" x14ac:dyDescent="0.4">
      <c r="A1671" s="1"/>
      <c r="B1671" s="1"/>
      <c r="C1671" s="17"/>
      <c r="D1671" s="17" t="s">
        <v>374</v>
      </c>
      <c r="E1671" s="17"/>
      <c r="F1671" s="32"/>
      <c r="G1671" s="6"/>
      <c r="H1671" s="6"/>
      <c r="I1671" s="6"/>
      <c r="J1671" s="6"/>
      <c r="K1671" s="6"/>
      <c r="L1671" s="6"/>
      <c r="M1671" s="6"/>
      <c r="N1671" s="6"/>
      <c r="O1671" s="31"/>
      <c r="P1671" s="32"/>
      <c r="Q1671" s="6"/>
      <c r="R1671" s="59"/>
      <c r="S1671" s="1"/>
      <c r="T1671" s="1"/>
      <c r="U1671" s="1"/>
    </row>
    <row r="1672" spans="1:21" ht="10.5" customHeight="1" x14ac:dyDescent="0.4">
      <c r="A1672" s="1"/>
      <c r="B1672" s="1"/>
      <c r="C1672" s="17"/>
      <c r="D1672" s="17" t="s">
        <v>374</v>
      </c>
      <c r="E1672" s="17"/>
      <c r="F1672" s="32"/>
      <c r="G1672" s="6"/>
      <c r="H1672" s="6"/>
      <c r="I1672" s="6"/>
      <c r="J1672" s="6"/>
      <c r="K1672" s="6"/>
      <c r="L1672" s="6"/>
      <c r="M1672" s="6"/>
      <c r="N1672" s="6"/>
      <c r="O1672" s="31"/>
      <c r="P1672" s="32"/>
      <c r="Q1672" s="6"/>
      <c r="R1672" s="59"/>
      <c r="S1672" s="1"/>
      <c r="T1672" s="1"/>
      <c r="U1672" s="1"/>
    </row>
    <row r="1673" spans="1:21" ht="10.5" customHeight="1" x14ac:dyDescent="0.4">
      <c r="A1673" s="1"/>
      <c r="B1673" s="1"/>
      <c r="C1673" s="17"/>
      <c r="D1673" s="17" t="s">
        <v>374</v>
      </c>
      <c r="E1673" s="17"/>
      <c r="F1673" s="32"/>
      <c r="G1673" s="6"/>
      <c r="H1673" s="6"/>
      <c r="I1673" s="6"/>
      <c r="J1673" s="6"/>
      <c r="K1673" s="6"/>
      <c r="L1673" s="6"/>
      <c r="M1673" s="6"/>
      <c r="N1673" s="6"/>
      <c r="O1673" s="31"/>
      <c r="P1673" s="32"/>
      <c r="Q1673" s="6"/>
      <c r="R1673" s="59"/>
      <c r="S1673" s="1"/>
      <c r="T1673" s="1"/>
      <c r="U1673" s="1"/>
    </row>
    <row r="1674" spans="1:21" ht="10.5" customHeight="1" x14ac:dyDescent="0.4">
      <c r="A1674" s="1"/>
      <c r="B1674" s="1"/>
      <c r="C1674" s="17"/>
      <c r="D1674" s="17" t="s">
        <v>374</v>
      </c>
      <c r="E1674" s="17"/>
      <c r="F1674" s="32"/>
      <c r="G1674" s="6"/>
      <c r="H1674" s="6"/>
      <c r="I1674" s="6"/>
      <c r="J1674" s="6"/>
      <c r="K1674" s="6"/>
      <c r="L1674" s="6"/>
      <c r="M1674" s="6"/>
      <c r="N1674" s="6"/>
      <c r="O1674" s="31"/>
      <c r="P1674" s="32"/>
      <c r="Q1674" s="6"/>
      <c r="R1674" s="59"/>
      <c r="S1674" s="1"/>
      <c r="T1674" s="1"/>
      <c r="U1674" s="1"/>
    </row>
    <row r="1675" spans="1:21" ht="10.5" customHeight="1" x14ac:dyDescent="0.4">
      <c r="A1675" s="1"/>
      <c r="B1675" s="1"/>
      <c r="C1675" s="17"/>
      <c r="D1675" s="17" t="s">
        <v>374</v>
      </c>
      <c r="E1675" s="17"/>
      <c r="F1675" s="32"/>
      <c r="G1675" s="6"/>
      <c r="H1675" s="6"/>
      <c r="I1675" s="6"/>
      <c r="J1675" s="6"/>
      <c r="K1675" s="6"/>
      <c r="L1675" s="6"/>
      <c r="M1675" s="6"/>
      <c r="N1675" s="6"/>
      <c r="O1675" s="31"/>
      <c r="P1675" s="32"/>
      <c r="Q1675" s="6"/>
      <c r="R1675" s="59"/>
      <c r="S1675" s="1"/>
      <c r="T1675" s="1"/>
      <c r="U1675" s="1"/>
    </row>
    <row r="1676" spans="1:21" ht="10.5" customHeight="1" x14ac:dyDescent="0.4">
      <c r="A1676" s="1"/>
      <c r="B1676" s="1"/>
      <c r="C1676" s="17"/>
      <c r="D1676" s="17" t="s">
        <v>374</v>
      </c>
      <c r="E1676" s="17"/>
      <c r="F1676" s="32"/>
      <c r="G1676" s="6"/>
      <c r="H1676" s="6"/>
      <c r="I1676" s="6"/>
      <c r="J1676" s="6"/>
      <c r="K1676" s="6"/>
      <c r="L1676" s="6"/>
      <c r="M1676" s="6"/>
      <c r="N1676" s="6"/>
      <c r="O1676" s="31"/>
      <c r="P1676" s="32"/>
      <c r="Q1676" s="6"/>
      <c r="R1676" s="59"/>
      <c r="S1676" s="1"/>
      <c r="T1676" s="1"/>
      <c r="U1676" s="1"/>
    </row>
    <row r="1677" spans="1:21" ht="9.75" customHeight="1" x14ac:dyDescent="0.4">
      <c r="A1677" s="1"/>
      <c r="B1677" s="1"/>
      <c r="C1677" s="17"/>
      <c r="D1677" s="17" t="s">
        <v>310</v>
      </c>
      <c r="E1677" s="17">
        <v>4</v>
      </c>
      <c r="F1677" s="32">
        <v>2</v>
      </c>
      <c r="G1677" s="6">
        <v>3</v>
      </c>
      <c r="H1677" s="6">
        <v>2</v>
      </c>
      <c r="I1677" s="6">
        <v>0</v>
      </c>
      <c r="J1677" s="6">
        <v>1</v>
      </c>
      <c r="K1677" s="6">
        <v>1</v>
      </c>
      <c r="L1677" s="6">
        <v>1</v>
      </c>
      <c r="M1677" s="6">
        <v>2</v>
      </c>
      <c r="N1677" s="6">
        <v>3</v>
      </c>
      <c r="O1677" s="31">
        <v>3</v>
      </c>
      <c r="P1677" s="32">
        <f>MIN(F1677:O1677)</f>
        <v>0</v>
      </c>
      <c r="Q1677" s="6">
        <f>E1677-P1677</f>
        <v>4</v>
      </c>
      <c r="R1677" s="59">
        <f>Q1677/E1677</f>
        <v>1</v>
      </c>
      <c r="S1677" s="1"/>
      <c r="T1677" s="1"/>
      <c r="U1677" s="1"/>
    </row>
    <row r="1678" spans="1:21" ht="9.75" customHeight="1" x14ac:dyDescent="0.4">
      <c r="A1678" s="1"/>
      <c r="B1678" s="1"/>
      <c r="C1678" s="17"/>
      <c r="D1678" s="17" t="s">
        <v>311</v>
      </c>
      <c r="E1678" s="17"/>
      <c r="F1678" s="32"/>
      <c r="G1678" s="6"/>
      <c r="H1678" s="6"/>
      <c r="I1678" s="6"/>
      <c r="J1678" s="6"/>
      <c r="K1678" s="6"/>
      <c r="L1678" s="6"/>
      <c r="M1678" s="6"/>
      <c r="N1678" s="6"/>
      <c r="O1678" s="31"/>
      <c r="P1678" s="32"/>
      <c r="Q1678" s="6"/>
      <c r="R1678" s="59"/>
      <c r="S1678" s="1"/>
      <c r="T1678" s="1"/>
      <c r="U1678" s="1"/>
    </row>
    <row r="1679" spans="1:21" ht="9.75" customHeight="1" x14ac:dyDescent="0.4">
      <c r="A1679" s="1"/>
      <c r="B1679" s="1"/>
      <c r="C1679" s="17"/>
      <c r="D1679" s="17" t="s">
        <v>312</v>
      </c>
      <c r="E1679" s="17"/>
      <c r="F1679" s="32"/>
      <c r="G1679" s="6"/>
      <c r="H1679" s="6"/>
      <c r="I1679" s="6"/>
      <c r="J1679" s="6"/>
      <c r="K1679" s="6"/>
      <c r="L1679" s="6"/>
      <c r="M1679" s="6"/>
      <c r="N1679" s="6"/>
      <c r="O1679" s="31"/>
      <c r="P1679" s="32"/>
      <c r="Q1679" s="6"/>
      <c r="R1679" s="59"/>
      <c r="S1679" s="1"/>
      <c r="T1679" s="1"/>
      <c r="U1679" s="1"/>
    </row>
    <row r="1680" spans="1:21" ht="9.75" customHeight="1" x14ac:dyDescent="0.4">
      <c r="A1680" s="1"/>
      <c r="B1680" s="1"/>
      <c r="C1680" s="17"/>
      <c r="D1680" s="17" t="s">
        <v>313</v>
      </c>
      <c r="E1680" s="17"/>
      <c r="F1680" s="32"/>
      <c r="G1680" s="6"/>
      <c r="H1680" s="6"/>
      <c r="I1680" s="6"/>
      <c r="J1680" s="6"/>
      <c r="K1680" s="6"/>
      <c r="L1680" s="6"/>
      <c r="M1680" s="6"/>
      <c r="N1680" s="6"/>
      <c r="O1680" s="31"/>
      <c r="P1680" s="32"/>
      <c r="Q1680" s="6"/>
      <c r="R1680" s="59"/>
      <c r="S1680" s="1"/>
      <c r="T1680" s="1"/>
      <c r="U1680" s="1"/>
    </row>
    <row r="1681" spans="1:21" ht="9.75" customHeight="1" x14ac:dyDescent="0.4">
      <c r="A1681" s="1"/>
      <c r="B1681" s="1" t="s">
        <v>395</v>
      </c>
      <c r="C1681" s="17"/>
      <c r="D1681" s="65" t="s">
        <v>314</v>
      </c>
      <c r="E1681" s="65">
        <f t="shared" ref="E1681:O1681" si="280">SUM(E1665:E1680)</f>
        <v>38</v>
      </c>
      <c r="F1681" s="104">
        <f t="shared" si="280"/>
        <v>13</v>
      </c>
      <c r="G1681" s="128">
        <f t="shared" si="280"/>
        <v>3</v>
      </c>
      <c r="H1681" s="128">
        <f t="shared" si="280"/>
        <v>2</v>
      </c>
      <c r="I1681" s="128">
        <f t="shared" si="280"/>
        <v>0</v>
      </c>
      <c r="J1681" s="128">
        <f t="shared" si="280"/>
        <v>1</v>
      </c>
      <c r="K1681" s="128">
        <f t="shared" si="280"/>
        <v>1</v>
      </c>
      <c r="L1681" s="128">
        <f t="shared" si="280"/>
        <v>1</v>
      </c>
      <c r="M1681" s="128">
        <f t="shared" si="280"/>
        <v>6</v>
      </c>
      <c r="N1681" s="128">
        <f t="shared" si="280"/>
        <v>10</v>
      </c>
      <c r="O1681" s="129">
        <f t="shared" si="280"/>
        <v>20</v>
      </c>
      <c r="P1681" s="104">
        <f>MIN(F1681:O1681)</f>
        <v>0</v>
      </c>
      <c r="Q1681" s="128">
        <f>E1681-P1681</f>
        <v>38</v>
      </c>
      <c r="R1681" s="72">
        <f>Q1681/E1681</f>
        <v>1</v>
      </c>
      <c r="S1681" s="1"/>
      <c r="T1681" s="1"/>
      <c r="U1681" s="1"/>
    </row>
    <row r="1682" spans="1:21" ht="9.75" customHeight="1" x14ac:dyDescent="0.4">
      <c r="A1682" s="1"/>
      <c r="B1682" s="1"/>
      <c r="C1682" s="15" t="s">
        <v>136</v>
      </c>
      <c r="D1682" s="15" t="s">
        <v>300</v>
      </c>
      <c r="E1682" s="17"/>
      <c r="F1682" s="32"/>
      <c r="G1682" s="6"/>
      <c r="H1682" s="6"/>
      <c r="I1682" s="6"/>
      <c r="J1682" s="6"/>
      <c r="K1682" s="6"/>
      <c r="L1682" s="6"/>
      <c r="M1682" s="6"/>
      <c r="N1682" s="6"/>
      <c r="O1682" s="31"/>
      <c r="P1682" s="32"/>
      <c r="Q1682" s="6"/>
      <c r="R1682" s="59"/>
      <c r="S1682" s="1"/>
      <c r="T1682" s="1"/>
      <c r="U1682" s="1"/>
    </row>
    <row r="1683" spans="1:21" ht="9.75" customHeight="1" x14ac:dyDescent="0.4">
      <c r="A1683" s="1"/>
      <c r="B1683" s="1"/>
      <c r="C1683" s="17"/>
      <c r="D1683" s="17" t="s">
        <v>301</v>
      </c>
      <c r="E1683" s="17"/>
      <c r="F1683" s="32"/>
      <c r="G1683" s="6"/>
      <c r="H1683" s="6"/>
      <c r="I1683" s="6"/>
      <c r="J1683" s="6"/>
      <c r="K1683" s="6"/>
      <c r="L1683" s="6"/>
      <c r="M1683" s="6"/>
      <c r="N1683" s="6"/>
      <c r="O1683" s="31"/>
      <c r="P1683" s="32"/>
      <c r="Q1683" s="6"/>
      <c r="R1683" s="59"/>
      <c r="S1683" s="1"/>
      <c r="T1683" s="1"/>
      <c r="U1683" s="1"/>
    </row>
    <row r="1684" spans="1:21" ht="9.75" customHeight="1" x14ac:dyDescent="0.4">
      <c r="A1684" s="1"/>
      <c r="B1684" s="1"/>
      <c r="C1684" s="17"/>
      <c r="D1684" s="17" t="s">
        <v>303</v>
      </c>
      <c r="E1684" s="17"/>
      <c r="F1684" s="32"/>
      <c r="G1684" s="6"/>
      <c r="H1684" s="6"/>
      <c r="I1684" s="6"/>
      <c r="J1684" s="6"/>
      <c r="K1684" s="6"/>
      <c r="L1684" s="6"/>
      <c r="M1684" s="6"/>
      <c r="N1684" s="6"/>
      <c r="O1684" s="31"/>
      <c r="P1684" s="32"/>
      <c r="Q1684" s="6"/>
      <c r="R1684" s="59"/>
      <c r="S1684" s="1"/>
      <c r="T1684" s="1"/>
      <c r="U1684" s="1"/>
    </row>
    <row r="1685" spans="1:21" ht="9.75" customHeight="1" x14ac:dyDescent="0.4">
      <c r="A1685" s="1"/>
      <c r="B1685" s="1"/>
      <c r="C1685" s="17"/>
      <c r="D1685" s="17" t="s">
        <v>369</v>
      </c>
      <c r="E1685" s="17"/>
      <c r="F1685" s="32"/>
      <c r="G1685" s="6"/>
      <c r="H1685" s="6"/>
      <c r="I1685" s="6"/>
      <c r="J1685" s="6"/>
      <c r="K1685" s="6"/>
      <c r="L1685" s="6"/>
      <c r="M1685" s="6"/>
      <c r="N1685" s="6"/>
      <c r="O1685" s="31"/>
      <c r="P1685" s="32"/>
      <c r="Q1685" s="6"/>
      <c r="R1685" s="59"/>
      <c r="S1685" s="1"/>
      <c r="T1685" s="1"/>
      <c r="U1685" s="1"/>
    </row>
    <row r="1686" spans="1:21" ht="9.75" customHeight="1" x14ac:dyDescent="0.4">
      <c r="A1686" s="1"/>
      <c r="B1686" s="1"/>
      <c r="C1686" s="17"/>
      <c r="D1686" s="17" t="s">
        <v>369</v>
      </c>
      <c r="E1686" s="17"/>
      <c r="F1686" s="32"/>
      <c r="G1686" s="6"/>
      <c r="H1686" s="6"/>
      <c r="I1686" s="6"/>
      <c r="J1686" s="6"/>
      <c r="K1686" s="6"/>
      <c r="L1686" s="6"/>
      <c r="M1686" s="6"/>
      <c r="N1686" s="6"/>
      <c r="O1686" s="31"/>
      <c r="P1686" s="32"/>
      <c r="Q1686" s="6"/>
      <c r="R1686" s="59"/>
      <c r="S1686" s="1"/>
      <c r="T1686" s="1"/>
      <c r="U1686" s="1"/>
    </row>
    <row r="1687" spans="1:21" ht="9.75" customHeight="1" x14ac:dyDescent="0.4">
      <c r="A1687" s="1"/>
      <c r="B1687" s="1"/>
      <c r="C1687" s="17"/>
      <c r="D1687" s="17" t="s">
        <v>308</v>
      </c>
      <c r="E1687" s="17">
        <v>8</v>
      </c>
      <c r="F1687" s="32">
        <v>6</v>
      </c>
      <c r="G1687" s="6">
        <v>5</v>
      </c>
      <c r="H1687" s="6">
        <v>4</v>
      </c>
      <c r="I1687" s="6">
        <v>4</v>
      </c>
      <c r="J1687" s="6">
        <v>5</v>
      </c>
      <c r="K1687" s="6">
        <v>4</v>
      </c>
      <c r="L1687" s="6">
        <v>4</v>
      </c>
      <c r="M1687" s="6">
        <v>6</v>
      </c>
      <c r="N1687" s="6">
        <v>6</v>
      </c>
      <c r="O1687" s="31">
        <v>8</v>
      </c>
      <c r="P1687" s="32">
        <f>MIN(F1687:O1687)</f>
        <v>4</v>
      </c>
      <c r="Q1687" s="6">
        <f>E1687-P1687</f>
        <v>4</v>
      </c>
      <c r="R1687" s="59">
        <f>Q1687/E1687</f>
        <v>0.5</v>
      </c>
      <c r="S1687" s="1"/>
      <c r="T1687" s="1"/>
      <c r="U1687" s="1"/>
    </row>
    <row r="1688" spans="1:21" ht="9.75" customHeight="1" x14ac:dyDescent="0.4">
      <c r="A1688" s="1"/>
      <c r="B1688" s="1"/>
      <c r="C1688" s="17"/>
      <c r="D1688" s="17" t="s">
        <v>374</v>
      </c>
      <c r="E1688" s="17"/>
      <c r="F1688" s="32"/>
      <c r="G1688" s="6"/>
      <c r="H1688" s="6"/>
      <c r="I1688" s="6"/>
      <c r="J1688" s="6"/>
      <c r="K1688" s="6"/>
      <c r="L1688" s="6"/>
      <c r="M1688" s="6"/>
      <c r="N1688" s="6"/>
      <c r="O1688" s="31"/>
      <c r="P1688" s="32"/>
      <c r="Q1688" s="6"/>
      <c r="R1688" s="59"/>
      <c r="S1688" s="1"/>
      <c r="T1688" s="1"/>
      <c r="U1688" s="1"/>
    </row>
    <row r="1689" spans="1:21" ht="9.75" customHeight="1" x14ac:dyDescent="0.4">
      <c r="A1689" s="1"/>
      <c r="B1689" s="1"/>
      <c r="C1689" s="17"/>
      <c r="D1689" s="17" t="s">
        <v>374</v>
      </c>
      <c r="E1689" s="17"/>
      <c r="F1689" s="32"/>
      <c r="G1689" s="6"/>
      <c r="H1689" s="6"/>
      <c r="I1689" s="6"/>
      <c r="J1689" s="6"/>
      <c r="K1689" s="6"/>
      <c r="L1689" s="6"/>
      <c r="M1689" s="6"/>
      <c r="N1689" s="6"/>
      <c r="O1689" s="31"/>
      <c r="P1689" s="32"/>
      <c r="Q1689" s="6"/>
      <c r="R1689" s="59"/>
      <c r="S1689" s="1"/>
      <c r="T1689" s="1"/>
      <c r="U1689" s="1"/>
    </row>
    <row r="1690" spans="1:21" ht="9.75" customHeight="1" x14ac:dyDescent="0.4">
      <c r="A1690" s="1"/>
      <c r="B1690" s="1"/>
      <c r="C1690" s="17"/>
      <c r="D1690" s="17" t="s">
        <v>374</v>
      </c>
      <c r="E1690" s="17"/>
      <c r="F1690" s="32"/>
      <c r="G1690" s="6"/>
      <c r="H1690" s="6"/>
      <c r="I1690" s="6"/>
      <c r="J1690" s="6"/>
      <c r="K1690" s="6"/>
      <c r="L1690" s="6"/>
      <c r="M1690" s="6"/>
      <c r="N1690" s="6"/>
      <c r="O1690" s="31"/>
      <c r="P1690" s="32"/>
      <c r="Q1690" s="6"/>
      <c r="R1690" s="59"/>
      <c r="S1690" s="1"/>
      <c r="T1690" s="1"/>
      <c r="U1690" s="1"/>
    </row>
    <row r="1691" spans="1:21" ht="9.75" customHeight="1" x14ac:dyDescent="0.4">
      <c r="A1691" s="1"/>
      <c r="B1691" s="1"/>
      <c r="C1691" s="17"/>
      <c r="D1691" s="17" t="s">
        <v>374</v>
      </c>
      <c r="E1691" s="17"/>
      <c r="F1691" s="32"/>
      <c r="G1691" s="6"/>
      <c r="H1691" s="6"/>
      <c r="I1691" s="6"/>
      <c r="J1691" s="6"/>
      <c r="K1691" s="6"/>
      <c r="L1691" s="6"/>
      <c r="M1691" s="6"/>
      <c r="N1691" s="6"/>
      <c r="O1691" s="31"/>
      <c r="P1691" s="32"/>
      <c r="Q1691" s="6"/>
      <c r="R1691" s="59"/>
      <c r="S1691" s="1"/>
      <c r="T1691" s="1"/>
      <c r="U1691" s="1"/>
    </row>
    <row r="1692" spans="1:21" ht="9.75" customHeight="1" x14ac:dyDescent="0.4">
      <c r="A1692" s="1"/>
      <c r="B1692" s="1"/>
      <c r="C1692" s="17"/>
      <c r="D1692" s="17" t="s">
        <v>374</v>
      </c>
      <c r="E1692" s="17"/>
      <c r="F1692" s="32"/>
      <c r="G1692" s="6"/>
      <c r="H1692" s="6"/>
      <c r="I1692" s="6"/>
      <c r="J1692" s="6"/>
      <c r="K1692" s="6"/>
      <c r="L1692" s="6"/>
      <c r="M1692" s="6"/>
      <c r="N1692" s="6"/>
      <c r="O1692" s="31"/>
      <c r="P1692" s="32"/>
      <c r="Q1692" s="6"/>
      <c r="R1692" s="59"/>
      <c r="S1692" s="1"/>
      <c r="T1692" s="1"/>
      <c r="U1692" s="1"/>
    </row>
    <row r="1693" spans="1:21" ht="9.75" customHeight="1" x14ac:dyDescent="0.4">
      <c r="A1693" s="1"/>
      <c r="B1693" s="1"/>
      <c r="C1693" s="17"/>
      <c r="D1693" s="17" t="s">
        <v>374</v>
      </c>
      <c r="E1693" s="17"/>
      <c r="F1693" s="32"/>
      <c r="G1693" s="6"/>
      <c r="H1693" s="6"/>
      <c r="I1693" s="6"/>
      <c r="J1693" s="6"/>
      <c r="K1693" s="6"/>
      <c r="L1693" s="6"/>
      <c r="M1693" s="6"/>
      <c r="N1693" s="6"/>
      <c r="O1693" s="31"/>
      <c r="P1693" s="32"/>
      <c r="Q1693" s="6"/>
      <c r="R1693" s="59"/>
      <c r="S1693" s="1"/>
      <c r="T1693" s="1"/>
      <c r="U1693" s="1"/>
    </row>
    <row r="1694" spans="1:21" ht="9.75" customHeight="1" x14ac:dyDescent="0.4">
      <c r="A1694" s="1"/>
      <c r="B1694" s="1"/>
      <c r="C1694" s="17"/>
      <c r="D1694" s="17" t="s">
        <v>310</v>
      </c>
      <c r="E1694" s="17">
        <v>1</v>
      </c>
      <c r="F1694" s="32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0</v>
      </c>
      <c r="M1694" s="6">
        <v>1</v>
      </c>
      <c r="N1694" s="6">
        <v>1</v>
      </c>
      <c r="O1694" s="31">
        <v>1</v>
      </c>
      <c r="P1694" s="32">
        <f t="shared" ref="P1694:P1695" si="281">MIN(F1694:O1694)</f>
        <v>0</v>
      </c>
      <c r="Q1694" s="6">
        <f t="shared" ref="Q1694:Q1695" si="282">E1694-P1694</f>
        <v>1</v>
      </c>
      <c r="R1694" s="59">
        <f t="shared" ref="R1694:R1695" si="283">Q1694/E1694</f>
        <v>1</v>
      </c>
      <c r="S1694" s="1"/>
      <c r="T1694" s="1"/>
      <c r="U1694" s="1"/>
    </row>
    <row r="1695" spans="1:21" ht="9.75" customHeight="1" x14ac:dyDescent="0.4">
      <c r="A1695" s="1"/>
      <c r="B1695" s="1"/>
      <c r="C1695" s="17"/>
      <c r="D1695" s="17" t="s">
        <v>311</v>
      </c>
      <c r="E1695" s="17">
        <v>7</v>
      </c>
      <c r="F1695" s="32">
        <v>1</v>
      </c>
      <c r="G1695" s="6">
        <v>2</v>
      </c>
      <c r="H1695" s="6">
        <v>0</v>
      </c>
      <c r="I1695" s="6">
        <v>2</v>
      </c>
      <c r="J1695" s="6">
        <v>1</v>
      </c>
      <c r="K1695" s="6">
        <v>1</v>
      </c>
      <c r="L1695" s="6">
        <v>0</v>
      </c>
      <c r="M1695" s="6">
        <v>0</v>
      </c>
      <c r="N1695" s="6">
        <v>0</v>
      </c>
      <c r="O1695" s="31">
        <v>0</v>
      </c>
      <c r="P1695" s="32">
        <f t="shared" si="281"/>
        <v>0</v>
      </c>
      <c r="Q1695" s="6">
        <f t="shared" si="282"/>
        <v>7</v>
      </c>
      <c r="R1695" s="59">
        <f t="shared" si="283"/>
        <v>1</v>
      </c>
      <c r="S1695" s="1"/>
      <c r="T1695" s="1"/>
      <c r="U1695" s="1"/>
    </row>
    <row r="1696" spans="1:21" ht="9.75" customHeight="1" x14ac:dyDescent="0.4">
      <c r="A1696" s="1"/>
      <c r="B1696" s="1"/>
      <c r="C1696" s="17"/>
      <c r="D1696" s="17" t="s">
        <v>312</v>
      </c>
      <c r="E1696" s="17"/>
      <c r="F1696" s="32"/>
      <c r="G1696" s="6"/>
      <c r="H1696" s="6"/>
      <c r="I1696" s="6"/>
      <c r="J1696" s="6"/>
      <c r="K1696" s="6"/>
      <c r="L1696" s="6"/>
      <c r="M1696" s="6"/>
      <c r="N1696" s="6"/>
      <c r="O1696" s="31"/>
      <c r="P1696" s="32"/>
      <c r="Q1696" s="6"/>
      <c r="R1696" s="59"/>
      <c r="S1696" s="1"/>
      <c r="T1696" s="1"/>
      <c r="U1696" s="1"/>
    </row>
    <row r="1697" spans="1:21" ht="9.75" customHeight="1" x14ac:dyDescent="0.4">
      <c r="A1697" s="1"/>
      <c r="B1697" s="1"/>
      <c r="C1697" s="17"/>
      <c r="D1697" s="17" t="s">
        <v>313</v>
      </c>
      <c r="E1697" s="17"/>
      <c r="F1697" s="32"/>
      <c r="G1697" s="6"/>
      <c r="H1697" s="6"/>
      <c r="I1697" s="6"/>
      <c r="J1697" s="6"/>
      <c r="K1697" s="6"/>
      <c r="L1697" s="6"/>
      <c r="M1697" s="6"/>
      <c r="N1697" s="6"/>
      <c r="O1697" s="31"/>
      <c r="P1697" s="32"/>
      <c r="Q1697" s="6"/>
      <c r="R1697" s="59"/>
      <c r="S1697" s="1"/>
      <c r="T1697" s="1"/>
      <c r="U1697" s="1"/>
    </row>
    <row r="1698" spans="1:21" ht="9.75" customHeight="1" x14ac:dyDescent="0.4">
      <c r="A1698" s="1"/>
      <c r="B1698" s="1" t="s">
        <v>395</v>
      </c>
      <c r="C1698" s="34"/>
      <c r="D1698" s="65" t="s">
        <v>314</v>
      </c>
      <c r="E1698" s="65">
        <f t="shared" ref="E1698:O1698" si="284">SUM(E1682:E1697)</f>
        <v>16</v>
      </c>
      <c r="F1698" s="104">
        <f t="shared" si="284"/>
        <v>7</v>
      </c>
      <c r="G1698" s="128">
        <f t="shared" si="284"/>
        <v>7</v>
      </c>
      <c r="H1698" s="128">
        <f t="shared" si="284"/>
        <v>4</v>
      </c>
      <c r="I1698" s="128">
        <f t="shared" si="284"/>
        <v>6</v>
      </c>
      <c r="J1698" s="128">
        <f t="shared" si="284"/>
        <v>6</v>
      </c>
      <c r="K1698" s="128">
        <f t="shared" si="284"/>
        <v>5</v>
      </c>
      <c r="L1698" s="128">
        <f t="shared" si="284"/>
        <v>4</v>
      </c>
      <c r="M1698" s="128">
        <f t="shared" si="284"/>
        <v>7</v>
      </c>
      <c r="N1698" s="128">
        <f t="shared" si="284"/>
        <v>7</v>
      </c>
      <c r="O1698" s="129">
        <f t="shared" si="284"/>
        <v>9</v>
      </c>
      <c r="P1698" s="104">
        <f>MIN(F1698:O1698)</f>
        <v>4</v>
      </c>
      <c r="Q1698" s="128">
        <f>E1698-P1698</f>
        <v>12</v>
      </c>
      <c r="R1698" s="72">
        <f>Q1698/E1698</f>
        <v>0.75</v>
      </c>
      <c r="S1698" s="1"/>
      <c r="T1698" s="1"/>
      <c r="U1698" s="1"/>
    </row>
    <row r="1699" spans="1:21" ht="9.75" customHeight="1" x14ac:dyDescent="0.4">
      <c r="A1699" s="1"/>
      <c r="B1699" s="1"/>
      <c r="C1699" s="15" t="s">
        <v>152</v>
      </c>
      <c r="D1699" s="15" t="s">
        <v>300</v>
      </c>
      <c r="E1699" s="15"/>
      <c r="F1699" s="73"/>
      <c r="G1699" s="108"/>
      <c r="H1699" s="108"/>
      <c r="I1699" s="108"/>
      <c r="J1699" s="108"/>
      <c r="K1699" s="108"/>
      <c r="L1699" s="108"/>
      <c r="M1699" s="108"/>
      <c r="N1699" s="108"/>
      <c r="O1699" s="109"/>
      <c r="P1699" s="73"/>
      <c r="Q1699" s="108"/>
      <c r="R1699" s="188"/>
      <c r="S1699" s="1"/>
      <c r="T1699" s="1"/>
      <c r="U1699" s="1"/>
    </row>
    <row r="1700" spans="1:21" ht="9.75" customHeight="1" x14ac:dyDescent="0.4">
      <c r="A1700" s="1"/>
      <c r="B1700" s="1"/>
      <c r="C1700" s="17"/>
      <c r="D1700" s="17" t="s">
        <v>301</v>
      </c>
      <c r="E1700" s="17"/>
      <c r="F1700" s="32"/>
      <c r="G1700" s="6"/>
      <c r="H1700" s="6"/>
      <c r="I1700" s="6"/>
      <c r="J1700" s="6"/>
      <c r="K1700" s="6"/>
      <c r="L1700" s="6"/>
      <c r="M1700" s="6"/>
      <c r="N1700" s="6"/>
      <c r="O1700" s="31"/>
      <c r="P1700" s="32"/>
      <c r="Q1700" s="6"/>
      <c r="R1700" s="59"/>
      <c r="S1700" s="1"/>
      <c r="T1700" s="1"/>
      <c r="U1700" s="1"/>
    </row>
    <row r="1701" spans="1:21" ht="9.75" customHeight="1" x14ac:dyDescent="0.4">
      <c r="A1701" s="1"/>
      <c r="B1701" s="1"/>
      <c r="C1701" s="17"/>
      <c r="D1701" s="17" t="s">
        <v>303</v>
      </c>
      <c r="E1701" s="17"/>
      <c r="F1701" s="32"/>
      <c r="G1701" s="6"/>
      <c r="H1701" s="6"/>
      <c r="I1701" s="6"/>
      <c r="J1701" s="6"/>
      <c r="K1701" s="6"/>
      <c r="L1701" s="6"/>
      <c r="M1701" s="6"/>
      <c r="N1701" s="6"/>
      <c r="O1701" s="31"/>
      <c r="P1701" s="32"/>
      <c r="Q1701" s="6"/>
      <c r="R1701" s="59"/>
      <c r="S1701" s="1"/>
      <c r="T1701" s="1"/>
      <c r="U1701" s="1"/>
    </row>
    <row r="1702" spans="1:21" ht="9.75" customHeight="1" x14ac:dyDescent="0.4">
      <c r="A1702" s="1"/>
      <c r="B1702" s="1"/>
      <c r="C1702" s="17"/>
      <c r="D1702" s="17" t="s">
        <v>369</v>
      </c>
      <c r="E1702" s="17"/>
      <c r="F1702" s="32"/>
      <c r="G1702" s="6"/>
      <c r="H1702" s="6"/>
      <c r="I1702" s="6"/>
      <c r="J1702" s="6"/>
      <c r="K1702" s="6"/>
      <c r="L1702" s="6"/>
      <c r="M1702" s="6"/>
      <c r="N1702" s="6"/>
      <c r="O1702" s="31"/>
      <c r="P1702" s="32"/>
      <c r="Q1702" s="6"/>
      <c r="R1702" s="59"/>
      <c r="S1702" s="1"/>
      <c r="T1702" s="1"/>
      <c r="U1702" s="1"/>
    </row>
    <row r="1703" spans="1:21" ht="9.75" customHeight="1" x14ac:dyDescent="0.4">
      <c r="A1703" s="1"/>
      <c r="B1703" s="1"/>
      <c r="C1703" s="17"/>
      <c r="D1703" s="17" t="s">
        <v>369</v>
      </c>
      <c r="E1703" s="17"/>
      <c r="F1703" s="32"/>
      <c r="G1703" s="6"/>
      <c r="H1703" s="6"/>
      <c r="I1703" s="6"/>
      <c r="J1703" s="6"/>
      <c r="K1703" s="6"/>
      <c r="L1703" s="6"/>
      <c r="M1703" s="6"/>
      <c r="N1703" s="6"/>
      <c r="O1703" s="31"/>
      <c r="P1703" s="32"/>
      <c r="Q1703" s="6"/>
      <c r="R1703" s="59"/>
      <c r="S1703" s="1"/>
      <c r="T1703" s="1"/>
      <c r="U1703" s="1"/>
    </row>
    <row r="1704" spans="1:21" ht="9.75" customHeight="1" x14ac:dyDescent="0.4">
      <c r="A1704" s="1"/>
      <c r="B1704" s="1"/>
      <c r="C1704" s="17"/>
      <c r="D1704" s="17" t="s">
        <v>308</v>
      </c>
      <c r="E1704" s="17">
        <v>6</v>
      </c>
      <c r="F1704" s="32">
        <v>5</v>
      </c>
      <c r="G1704" s="6">
        <v>3</v>
      </c>
      <c r="H1704" s="6">
        <v>2</v>
      </c>
      <c r="I1704" s="6">
        <v>2</v>
      </c>
      <c r="J1704" s="6">
        <v>3</v>
      </c>
      <c r="K1704" s="6">
        <v>3</v>
      </c>
      <c r="L1704" s="6">
        <v>2</v>
      </c>
      <c r="M1704" s="6">
        <v>2</v>
      </c>
      <c r="N1704" s="6">
        <v>2</v>
      </c>
      <c r="O1704" s="31">
        <v>3</v>
      </c>
      <c r="P1704" s="32">
        <f>MIN(F1704:O1704)</f>
        <v>2</v>
      </c>
      <c r="Q1704" s="6">
        <f>E1704-P1704</f>
        <v>4</v>
      </c>
      <c r="R1704" s="59">
        <f>Q1704/E1704</f>
        <v>0.66666666666666663</v>
      </c>
      <c r="S1704" s="1"/>
      <c r="T1704" s="1"/>
      <c r="U1704" s="1"/>
    </row>
    <row r="1705" spans="1:21" ht="9.75" customHeight="1" x14ac:dyDescent="0.4">
      <c r="A1705" s="1"/>
      <c r="B1705" s="1"/>
      <c r="C1705" s="17"/>
      <c r="D1705" s="17" t="s">
        <v>374</v>
      </c>
      <c r="E1705" s="17"/>
      <c r="F1705" s="32"/>
      <c r="G1705" s="6"/>
      <c r="H1705" s="6"/>
      <c r="I1705" s="6"/>
      <c r="J1705" s="6"/>
      <c r="K1705" s="6"/>
      <c r="L1705" s="6"/>
      <c r="M1705" s="6"/>
      <c r="N1705" s="6"/>
      <c r="O1705" s="31"/>
      <c r="P1705" s="32"/>
      <c r="Q1705" s="6"/>
      <c r="R1705" s="59"/>
      <c r="S1705" s="1"/>
      <c r="T1705" s="1"/>
      <c r="U1705" s="1"/>
    </row>
    <row r="1706" spans="1:21" ht="9.75" customHeight="1" x14ac:dyDescent="0.4">
      <c r="A1706" s="1"/>
      <c r="B1706" s="1"/>
      <c r="C1706" s="17"/>
      <c r="D1706" s="17" t="s">
        <v>374</v>
      </c>
      <c r="E1706" s="17"/>
      <c r="F1706" s="32"/>
      <c r="G1706" s="6"/>
      <c r="H1706" s="6"/>
      <c r="I1706" s="6"/>
      <c r="J1706" s="6"/>
      <c r="K1706" s="6"/>
      <c r="L1706" s="6"/>
      <c r="M1706" s="6"/>
      <c r="N1706" s="6"/>
      <c r="O1706" s="31"/>
      <c r="P1706" s="32"/>
      <c r="Q1706" s="6"/>
      <c r="R1706" s="59"/>
      <c r="S1706" s="1"/>
      <c r="T1706" s="1"/>
      <c r="U1706" s="1"/>
    </row>
    <row r="1707" spans="1:21" ht="9.75" customHeight="1" x14ac:dyDescent="0.4">
      <c r="A1707" s="1"/>
      <c r="B1707" s="1"/>
      <c r="C1707" s="17"/>
      <c r="D1707" s="17" t="s">
        <v>374</v>
      </c>
      <c r="E1707" s="17"/>
      <c r="F1707" s="32"/>
      <c r="G1707" s="6"/>
      <c r="H1707" s="6"/>
      <c r="I1707" s="6"/>
      <c r="J1707" s="6"/>
      <c r="K1707" s="6"/>
      <c r="L1707" s="6"/>
      <c r="M1707" s="6"/>
      <c r="N1707" s="6"/>
      <c r="O1707" s="31"/>
      <c r="P1707" s="32"/>
      <c r="Q1707" s="6"/>
      <c r="R1707" s="59"/>
      <c r="S1707" s="1"/>
      <c r="T1707" s="1"/>
      <c r="U1707" s="1"/>
    </row>
    <row r="1708" spans="1:21" ht="9.75" customHeight="1" x14ac:dyDescent="0.4">
      <c r="A1708" s="1"/>
      <c r="B1708" s="1"/>
      <c r="C1708" s="17"/>
      <c r="D1708" s="17" t="s">
        <v>374</v>
      </c>
      <c r="E1708" s="17"/>
      <c r="F1708" s="32"/>
      <c r="G1708" s="6"/>
      <c r="H1708" s="6"/>
      <c r="I1708" s="6"/>
      <c r="J1708" s="6"/>
      <c r="K1708" s="6"/>
      <c r="L1708" s="6"/>
      <c r="M1708" s="6"/>
      <c r="N1708" s="6"/>
      <c r="O1708" s="31"/>
      <c r="P1708" s="32"/>
      <c r="Q1708" s="6"/>
      <c r="R1708" s="59"/>
      <c r="S1708" s="1"/>
      <c r="T1708" s="1"/>
      <c r="U1708" s="1"/>
    </row>
    <row r="1709" spans="1:21" ht="9.75" customHeight="1" x14ac:dyDescent="0.4">
      <c r="A1709" s="1"/>
      <c r="B1709" s="1"/>
      <c r="C1709" s="17"/>
      <c r="D1709" s="17" t="s">
        <v>374</v>
      </c>
      <c r="E1709" s="17"/>
      <c r="F1709" s="32"/>
      <c r="G1709" s="6"/>
      <c r="H1709" s="6"/>
      <c r="I1709" s="6"/>
      <c r="J1709" s="6"/>
      <c r="K1709" s="6"/>
      <c r="L1709" s="6"/>
      <c r="M1709" s="6"/>
      <c r="N1709" s="6"/>
      <c r="O1709" s="31"/>
      <c r="P1709" s="32"/>
      <c r="Q1709" s="6"/>
      <c r="R1709" s="59"/>
      <c r="S1709" s="1"/>
      <c r="T1709" s="1"/>
      <c r="U1709" s="1"/>
    </row>
    <row r="1710" spans="1:21" ht="9.75" customHeight="1" x14ac:dyDescent="0.4">
      <c r="A1710" s="1"/>
      <c r="B1710" s="1"/>
      <c r="C1710" s="17"/>
      <c r="D1710" s="17" t="s">
        <v>374</v>
      </c>
      <c r="E1710" s="17"/>
      <c r="F1710" s="32"/>
      <c r="G1710" s="6"/>
      <c r="H1710" s="6"/>
      <c r="I1710" s="6"/>
      <c r="J1710" s="6"/>
      <c r="K1710" s="6"/>
      <c r="L1710" s="6"/>
      <c r="M1710" s="6"/>
      <c r="N1710" s="6"/>
      <c r="O1710" s="31"/>
      <c r="P1710" s="32"/>
      <c r="Q1710" s="6"/>
      <c r="R1710" s="59"/>
      <c r="S1710" s="1"/>
      <c r="T1710" s="1"/>
      <c r="U1710" s="1"/>
    </row>
    <row r="1711" spans="1:21" ht="9.75" customHeight="1" x14ac:dyDescent="0.4">
      <c r="A1711" s="1"/>
      <c r="B1711" s="1"/>
      <c r="C1711" s="17"/>
      <c r="D1711" s="17" t="s">
        <v>310</v>
      </c>
      <c r="E1711" s="17">
        <v>2</v>
      </c>
      <c r="F1711" s="32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2</v>
      </c>
      <c r="O1711" s="31">
        <v>2</v>
      </c>
      <c r="P1711" s="32">
        <f>MIN(F1711:O1711)</f>
        <v>0</v>
      </c>
      <c r="Q1711" s="6">
        <f>E1711-P1711</f>
        <v>2</v>
      </c>
      <c r="R1711" s="59">
        <f>Q1711/E1711</f>
        <v>1</v>
      </c>
      <c r="S1711" s="1"/>
      <c r="T1711" s="1"/>
      <c r="U1711" s="1"/>
    </row>
    <row r="1712" spans="1:21" ht="9.75" customHeight="1" x14ac:dyDescent="0.4">
      <c r="A1712" s="1"/>
      <c r="B1712" s="1"/>
      <c r="C1712" s="17"/>
      <c r="D1712" s="17" t="s">
        <v>311</v>
      </c>
      <c r="E1712" s="17"/>
      <c r="F1712" s="32"/>
      <c r="G1712" s="6"/>
      <c r="H1712" s="6"/>
      <c r="I1712" s="6"/>
      <c r="J1712" s="6"/>
      <c r="K1712" s="6"/>
      <c r="L1712" s="6"/>
      <c r="M1712" s="6"/>
      <c r="N1712" s="6"/>
      <c r="O1712" s="31"/>
      <c r="P1712" s="32"/>
      <c r="Q1712" s="6"/>
      <c r="R1712" s="59"/>
      <c r="S1712" s="1"/>
      <c r="T1712" s="1"/>
      <c r="U1712" s="1"/>
    </row>
    <row r="1713" spans="1:21" ht="9.75" customHeight="1" x14ac:dyDescent="0.4">
      <c r="A1713" s="1"/>
      <c r="B1713" s="1"/>
      <c r="C1713" s="17"/>
      <c r="D1713" s="17" t="s">
        <v>312</v>
      </c>
      <c r="E1713" s="17"/>
      <c r="F1713" s="32"/>
      <c r="G1713" s="6"/>
      <c r="H1713" s="6"/>
      <c r="I1713" s="6"/>
      <c r="J1713" s="6"/>
      <c r="K1713" s="6"/>
      <c r="L1713" s="6"/>
      <c r="M1713" s="6"/>
      <c r="N1713" s="6"/>
      <c r="O1713" s="31"/>
      <c r="P1713" s="32"/>
      <c r="Q1713" s="6"/>
      <c r="R1713" s="59"/>
      <c r="S1713" s="1"/>
      <c r="T1713" s="1"/>
      <c r="U1713" s="1"/>
    </row>
    <row r="1714" spans="1:21" ht="9.75" customHeight="1" x14ac:dyDescent="0.4">
      <c r="A1714" s="1"/>
      <c r="B1714" s="1"/>
      <c r="C1714" s="17"/>
      <c r="D1714" s="17" t="s">
        <v>313</v>
      </c>
      <c r="E1714" s="17"/>
      <c r="F1714" s="32"/>
      <c r="G1714" s="6"/>
      <c r="H1714" s="6"/>
      <c r="I1714" s="6"/>
      <c r="J1714" s="6"/>
      <c r="K1714" s="6"/>
      <c r="L1714" s="6"/>
      <c r="M1714" s="6"/>
      <c r="N1714" s="6"/>
      <c r="O1714" s="31"/>
      <c r="P1714" s="32"/>
      <c r="Q1714" s="6"/>
      <c r="R1714" s="59"/>
      <c r="S1714" s="1"/>
      <c r="T1714" s="1"/>
      <c r="U1714" s="1"/>
    </row>
    <row r="1715" spans="1:21" ht="9.75" customHeight="1" x14ac:dyDescent="0.4">
      <c r="A1715" s="1"/>
      <c r="B1715" s="1" t="s">
        <v>395</v>
      </c>
      <c r="C1715" s="34"/>
      <c r="D1715" s="65" t="s">
        <v>314</v>
      </c>
      <c r="E1715" s="65">
        <f t="shared" ref="E1715:O1715" si="285">SUM(E1699:E1714)</f>
        <v>8</v>
      </c>
      <c r="F1715" s="104">
        <f t="shared" si="285"/>
        <v>5</v>
      </c>
      <c r="G1715" s="128">
        <f t="shared" si="285"/>
        <v>3</v>
      </c>
      <c r="H1715" s="128">
        <f t="shared" si="285"/>
        <v>2</v>
      </c>
      <c r="I1715" s="128">
        <f t="shared" si="285"/>
        <v>2</v>
      </c>
      <c r="J1715" s="128">
        <f t="shared" si="285"/>
        <v>3</v>
      </c>
      <c r="K1715" s="128">
        <f t="shared" si="285"/>
        <v>3</v>
      </c>
      <c r="L1715" s="128">
        <f t="shared" si="285"/>
        <v>2</v>
      </c>
      <c r="M1715" s="128">
        <f t="shared" si="285"/>
        <v>2</v>
      </c>
      <c r="N1715" s="128">
        <f t="shared" si="285"/>
        <v>4</v>
      </c>
      <c r="O1715" s="129">
        <f t="shared" si="285"/>
        <v>5</v>
      </c>
      <c r="P1715" s="104">
        <f>MIN(F1715:O1715)</f>
        <v>2</v>
      </c>
      <c r="Q1715" s="128">
        <f>E1715-P1715</f>
        <v>6</v>
      </c>
      <c r="R1715" s="72">
        <f>Q1715/E1715</f>
        <v>0.75</v>
      </c>
      <c r="S1715" s="1"/>
      <c r="T1715" s="1"/>
      <c r="U1715" s="1"/>
    </row>
    <row r="1716" spans="1:21" ht="9.75" customHeight="1" x14ac:dyDescent="0.4">
      <c r="A1716" s="1"/>
      <c r="B1716" s="1"/>
      <c r="C1716" s="15" t="s">
        <v>166</v>
      </c>
      <c r="D1716" s="15" t="s">
        <v>300</v>
      </c>
      <c r="E1716" s="15"/>
      <c r="F1716" s="367"/>
      <c r="G1716" s="368"/>
      <c r="H1716" s="368"/>
      <c r="I1716" s="368"/>
      <c r="J1716" s="368"/>
      <c r="K1716" s="368"/>
      <c r="L1716" s="368"/>
      <c r="M1716" s="368"/>
      <c r="N1716" s="368"/>
      <c r="O1716" s="369"/>
      <c r="P1716" s="367"/>
      <c r="Q1716" s="368"/>
      <c r="R1716" s="370"/>
      <c r="S1716" s="1"/>
      <c r="T1716" s="1"/>
      <c r="U1716" s="1"/>
    </row>
    <row r="1717" spans="1:21" ht="9.75" customHeight="1" x14ac:dyDescent="0.4">
      <c r="A1717" s="1"/>
      <c r="B1717" s="1"/>
      <c r="C1717" s="17"/>
      <c r="D1717" s="17" t="s">
        <v>301</v>
      </c>
      <c r="E1717" s="17"/>
      <c r="F1717" s="371"/>
      <c r="G1717" s="372"/>
      <c r="H1717" s="372"/>
      <c r="I1717" s="372"/>
      <c r="J1717" s="372"/>
      <c r="K1717" s="372"/>
      <c r="L1717" s="372"/>
      <c r="M1717" s="372"/>
      <c r="N1717" s="372"/>
      <c r="O1717" s="373"/>
      <c r="P1717" s="371"/>
      <c r="Q1717" s="372"/>
      <c r="R1717" s="374"/>
      <c r="S1717" s="1"/>
      <c r="T1717" s="1"/>
      <c r="U1717" s="1"/>
    </row>
    <row r="1718" spans="1:21" ht="9.75" customHeight="1" x14ac:dyDescent="0.4">
      <c r="A1718" s="1"/>
      <c r="B1718" s="1"/>
      <c r="C1718" s="17"/>
      <c r="D1718" s="17" t="s">
        <v>303</v>
      </c>
      <c r="E1718" s="17"/>
      <c r="F1718" s="371"/>
      <c r="G1718" s="372"/>
      <c r="H1718" s="372"/>
      <c r="I1718" s="372"/>
      <c r="J1718" s="372"/>
      <c r="K1718" s="372"/>
      <c r="L1718" s="372"/>
      <c r="M1718" s="372"/>
      <c r="N1718" s="372"/>
      <c r="O1718" s="373"/>
      <c r="P1718" s="371"/>
      <c r="Q1718" s="372"/>
      <c r="R1718" s="374"/>
      <c r="S1718" s="1"/>
      <c r="T1718" s="1"/>
      <c r="U1718" s="1"/>
    </row>
    <row r="1719" spans="1:21" ht="9.75" customHeight="1" x14ac:dyDescent="0.4">
      <c r="A1719" s="1"/>
      <c r="B1719" s="1"/>
      <c r="C1719" s="17"/>
      <c r="D1719" s="17" t="s">
        <v>369</v>
      </c>
      <c r="E1719" s="17"/>
      <c r="F1719" s="538"/>
      <c r="G1719" s="524"/>
      <c r="H1719" s="524"/>
      <c r="I1719" s="524"/>
      <c r="J1719" s="524"/>
      <c r="K1719" s="524"/>
      <c r="L1719" s="524"/>
      <c r="M1719" s="524"/>
      <c r="N1719" s="524"/>
      <c r="O1719" s="539"/>
      <c r="P1719" s="371"/>
      <c r="Q1719" s="372"/>
      <c r="R1719" s="374"/>
      <c r="S1719" s="1"/>
      <c r="T1719" s="1"/>
      <c r="U1719" s="1"/>
    </row>
    <row r="1720" spans="1:21" ht="9.75" customHeight="1" x14ac:dyDescent="0.4">
      <c r="A1720" s="1"/>
      <c r="B1720" s="1"/>
      <c r="C1720" s="17"/>
      <c r="D1720" s="17" t="s">
        <v>369</v>
      </c>
      <c r="E1720" s="17"/>
      <c r="F1720" s="371"/>
      <c r="G1720" s="372"/>
      <c r="H1720" s="372"/>
      <c r="I1720" s="372"/>
      <c r="J1720" s="372"/>
      <c r="K1720" s="372"/>
      <c r="L1720" s="372"/>
      <c r="M1720" s="372"/>
      <c r="N1720" s="372"/>
      <c r="O1720" s="373"/>
      <c r="P1720" s="371"/>
      <c r="Q1720" s="372"/>
      <c r="R1720" s="374"/>
      <c r="S1720" s="1"/>
      <c r="T1720" s="1"/>
      <c r="U1720" s="1"/>
    </row>
    <row r="1721" spans="1:21" ht="9.75" customHeight="1" x14ac:dyDescent="0.4">
      <c r="A1721" s="1"/>
      <c r="B1721" s="1"/>
      <c r="C1721" s="17"/>
      <c r="D1721" s="17" t="s">
        <v>308</v>
      </c>
      <c r="E1721" s="17"/>
      <c r="F1721" s="371"/>
      <c r="G1721" s="372"/>
      <c r="H1721" s="372"/>
      <c r="I1721" s="372"/>
      <c r="J1721" s="372"/>
      <c r="K1721" s="372"/>
      <c r="L1721" s="372"/>
      <c r="M1721" s="372"/>
      <c r="N1721" s="372"/>
      <c r="O1721" s="373"/>
      <c r="P1721" s="371"/>
      <c r="Q1721" s="372"/>
      <c r="R1721" s="374"/>
      <c r="S1721" s="1"/>
      <c r="T1721" s="1"/>
      <c r="U1721" s="1"/>
    </row>
    <row r="1722" spans="1:21" ht="9.75" customHeight="1" x14ac:dyDescent="0.4">
      <c r="A1722" s="1"/>
      <c r="B1722" s="1"/>
      <c r="C1722" s="17"/>
      <c r="D1722" s="17" t="s">
        <v>374</v>
      </c>
      <c r="E1722" s="17"/>
      <c r="F1722" s="371"/>
      <c r="G1722" s="372"/>
      <c r="H1722" s="372"/>
      <c r="I1722" s="372"/>
      <c r="J1722" s="372"/>
      <c r="K1722" s="372"/>
      <c r="L1722" s="372"/>
      <c r="M1722" s="372"/>
      <c r="N1722" s="372"/>
      <c r="O1722" s="373"/>
      <c r="P1722" s="371"/>
      <c r="Q1722" s="372"/>
      <c r="R1722" s="374"/>
      <c r="S1722" s="1"/>
      <c r="T1722" s="1"/>
      <c r="U1722" s="1"/>
    </row>
    <row r="1723" spans="1:21" ht="9.75" customHeight="1" x14ac:dyDescent="0.4">
      <c r="A1723" s="1"/>
      <c r="B1723" s="1"/>
      <c r="C1723" s="17"/>
      <c r="D1723" s="17" t="s">
        <v>374</v>
      </c>
      <c r="E1723" s="17"/>
      <c r="F1723" s="371"/>
      <c r="G1723" s="372"/>
      <c r="H1723" s="372"/>
      <c r="I1723" s="372"/>
      <c r="J1723" s="372"/>
      <c r="K1723" s="372"/>
      <c r="L1723" s="372"/>
      <c r="M1723" s="372"/>
      <c r="N1723" s="372"/>
      <c r="O1723" s="373"/>
      <c r="P1723" s="371"/>
      <c r="Q1723" s="372"/>
      <c r="R1723" s="374"/>
      <c r="S1723" s="1"/>
      <c r="T1723" s="1"/>
      <c r="U1723" s="1"/>
    </row>
    <row r="1724" spans="1:21" ht="9.75" customHeight="1" x14ac:dyDescent="0.4">
      <c r="A1724" s="1"/>
      <c r="B1724" s="1"/>
      <c r="C1724" s="17"/>
      <c r="D1724" s="17" t="s">
        <v>374</v>
      </c>
      <c r="E1724" s="17"/>
      <c r="F1724" s="371"/>
      <c r="G1724" s="372"/>
      <c r="H1724" s="372"/>
      <c r="I1724" s="372"/>
      <c r="J1724" s="372"/>
      <c r="K1724" s="372"/>
      <c r="L1724" s="372"/>
      <c r="M1724" s="372"/>
      <c r="N1724" s="372"/>
      <c r="O1724" s="373"/>
      <c r="P1724" s="371"/>
      <c r="Q1724" s="372"/>
      <c r="R1724" s="374"/>
      <c r="S1724" s="1"/>
      <c r="T1724" s="1"/>
      <c r="U1724" s="1"/>
    </row>
    <row r="1725" spans="1:21" ht="9.75" customHeight="1" x14ac:dyDescent="0.4">
      <c r="A1725" s="1"/>
      <c r="B1725" s="1"/>
      <c r="C1725" s="17"/>
      <c r="D1725" s="17" t="s">
        <v>374</v>
      </c>
      <c r="E1725" s="17"/>
      <c r="F1725" s="371"/>
      <c r="G1725" s="372"/>
      <c r="H1725" s="372"/>
      <c r="I1725" s="372"/>
      <c r="J1725" s="372"/>
      <c r="K1725" s="372"/>
      <c r="L1725" s="372"/>
      <c r="M1725" s="372"/>
      <c r="N1725" s="372"/>
      <c r="O1725" s="373"/>
      <c r="P1725" s="371"/>
      <c r="Q1725" s="372"/>
      <c r="R1725" s="374"/>
      <c r="S1725" s="1"/>
      <c r="T1725" s="1"/>
      <c r="U1725" s="1"/>
    </row>
    <row r="1726" spans="1:21" ht="9.75" customHeight="1" x14ac:dyDescent="0.4">
      <c r="A1726" s="1"/>
      <c r="B1726" s="1"/>
      <c r="C1726" s="17"/>
      <c r="D1726" s="17" t="s">
        <v>374</v>
      </c>
      <c r="E1726" s="17"/>
      <c r="F1726" s="371"/>
      <c r="G1726" s="372"/>
      <c r="H1726" s="372"/>
      <c r="I1726" s="372"/>
      <c r="J1726" s="372"/>
      <c r="K1726" s="372"/>
      <c r="L1726" s="372"/>
      <c r="M1726" s="372"/>
      <c r="N1726" s="372"/>
      <c r="O1726" s="373"/>
      <c r="P1726" s="371"/>
      <c r="Q1726" s="372"/>
      <c r="R1726" s="374"/>
      <c r="S1726" s="1"/>
      <c r="T1726" s="1"/>
      <c r="U1726" s="1"/>
    </row>
    <row r="1727" spans="1:21" ht="9.75" customHeight="1" x14ac:dyDescent="0.4">
      <c r="A1727" s="1"/>
      <c r="B1727" s="1"/>
      <c r="C1727" s="17"/>
      <c r="D1727" s="17" t="s">
        <v>374</v>
      </c>
      <c r="E1727" s="17"/>
      <c r="F1727" s="371"/>
      <c r="G1727" s="372"/>
      <c r="H1727" s="372"/>
      <c r="I1727" s="372"/>
      <c r="J1727" s="372"/>
      <c r="K1727" s="372"/>
      <c r="L1727" s="372"/>
      <c r="M1727" s="372"/>
      <c r="N1727" s="372"/>
      <c r="O1727" s="373"/>
      <c r="P1727" s="371"/>
      <c r="Q1727" s="372"/>
      <c r="R1727" s="374"/>
      <c r="S1727" s="1"/>
      <c r="T1727" s="1"/>
      <c r="U1727" s="1"/>
    </row>
    <row r="1728" spans="1:21" ht="9.75" customHeight="1" x14ac:dyDescent="0.4">
      <c r="A1728" s="1"/>
      <c r="B1728" s="1"/>
      <c r="C1728" s="17"/>
      <c r="D1728" s="17" t="s">
        <v>310</v>
      </c>
      <c r="E1728" s="17"/>
      <c r="F1728" s="371"/>
      <c r="G1728" s="372"/>
      <c r="H1728" s="372"/>
      <c r="I1728" s="372"/>
      <c r="J1728" s="372"/>
      <c r="K1728" s="372"/>
      <c r="L1728" s="372"/>
      <c r="M1728" s="372"/>
      <c r="N1728" s="372"/>
      <c r="O1728" s="373"/>
      <c r="P1728" s="371"/>
      <c r="Q1728" s="372"/>
      <c r="R1728" s="374"/>
      <c r="S1728" s="1"/>
      <c r="T1728" s="1"/>
      <c r="U1728" s="1"/>
    </row>
    <row r="1729" spans="1:21" ht="9.75" customHeight="1" x14ac:dyDescent="0.4">
      <c r="A1729" s="1"/>
      <c r="B1729" s="1"/>
      <c r="C1729" s="17"/>
      <c r="D1729" s="17" t="s">
        <v>311</v>
      </c>
      <c r="E1729" s="17"/>
      <c r="F1729" s="371"/>
      <c r="G1729" s="372"/>
      <c r="H1729" s="372"/>
      <c r="I1729" s="372"/>
      <c r="J1729" s="372"/>
      <c r="K1729" s="372"/>
      <c r="L1729" s="372"/>
      <c r="M1729" s="372"/>
      <c r="N1729" s="372"/>
      <c r="O1729" s="373"/>
      <c r="P1729" s="371"/>
      <c r="Q1729" s="372"/>
      <c r="R1729" s="374"/>
      <c r="S1729" s="1"/>
      <c r="T1729" s="1"/>
      <c r="U1729" s="1"/>
    </row>
    <row r="1730" spans="1:21" ht="9.75" customHeight="1" x14ac:dyDescent="0.4">
      <c r="A1730" s="1"/>
      <c r="B1730" s="1"/>
      <c r="C1730" s="17"/>
      <c r="D1730" s="17" t="s">
        <v>471</v>
      </c>
      <c r="E1730" s="17">
        <v>1</v>
      </c>
      <c r="F1730" s="371"/>
      <c r="G1730" s="372"/>
      <c r="H1730" s="372"/>
      <c r="I1730" s="372"/>
      <c r="J1730" s="372"/>
      <c r="K1730" s="372"/>
      <c r="L1730" s="372"/>
      <c r="M1730" s="372"/>
      <c r="N1730" s="372"/>
      <c r="O1730" s="373"/>
      <c r="P1730" s="371"/>
      <c r="Q1730" s="372"/>
      <c r="R1730" s="374"/>
      <c r="S1730" s="1"/>
      <c r="T1730" s="1"/>
      <c r="U1730" s="1"/>
    </row>
    <row r="1731" spans="1:21" ht="9.75" customHeight="1" x14ac:dyDescent="0.4">
      <c r="A1731" s="1"/>
      <c r="B1731" s="1"/>
      <c r="C1731" s="17"/>
      <c r="D1731" s="17" t="s">
        <v>464</v>
      </c>
      <c r="E1731" s="17">
        <v>1</v>
      </c>
      <c r="F1731" s="371"/>
      <c r="G1731" s="372"/>
      <c r="H1731" s="372"/>
      <c r="I1731" s="372"/>
      <c r="J1731" s="372"/>
      <c r="K1731" s="372"/>
      <c r="L1731" s="372"/>
      <c r="M1731" s="372"/>
      <c r="N1731" s="372"/>
      <c r="O1731" s="373"/>
      <c r="P1731" s="371"/>
      <c r="Q1731" s="372"/>
      <c r="R1731" s="374"/>
      <c r="S1731" s="1"/>
      <c r="T1731" s="1"/>
      <c r="U1731" s="1"/>
    </row>
    <row r="1732" spans="1:21" ht="9.75" customHeight="1" x14ac:dyDescent="0.4">
      <c r="A1732" s="1"/>
      <c r="B1732" s="1" t="s">
        <v>395</v>
      </c>
      <c r="C1732" s="34"/>
      <c r="D1732" s="65" t="s">
        <v>314</v>
      </c>
      <c r="E1732" s="65">
        <f>SUBTOTAL(9,E1730:E1731)</f>
        <v>2</v>
      </c>
      <c r="F1732" s="104"/>
      <c r="G1732" s="128"/>
      <c r="H1732" s="128"/>
      <c r="I1732" s="128"/>
      <c r="J1732" s="128"/>
      <c r="K1732" s="128"/>
      <c r="L1732" s="128"/>
      <c r="M1732" s="128"/>
      <c r="N1732" s="128"/>
      <c r="O1732" s="129"/>
      <c r="P1732" s="104"/>
      <c r="Q1732" s="128"/>
      <c r="R1732" s="72"/>
      <c r="S1732" s="1"/>
      <c r="T1732" s="1"/>
      <c r="U1732" s="1"/>
    </row>
    <row r="1733" spans="1:21" ht="9.75" customHeight="1" x14ac:dyDescent="0.4">
      <c r="A1733" s="1"/>
      <c r="B1733" s="1"/>
      <c r="C1733" s="15" t="s">
        <v>179</v>
      </c>
      <c r="D1733" s="15" t="s">
        <v>300</v>
      </c>
      <c r="E1733" s="15"/>
      <c r="F1733" s="73"/>
      <c r="G1733" s="108"/>
      <c r="H1733" s="108"/>
      <c r="I1733" s="108"/>
      <c r="J1733" s="108"/>
      <c r="K1733" s="108"/>
      <c r="L1733" s="108"/>
      <c r="M1733" s="108"/>
      <c r="N1733" s="108"/>
      <c r="O1733" s="109"/>
      <c r="P1733" s="73"/>
      <c r="Q1733" s="108"/>
      <c r="R1733" s="188"/>
      <c r="S1733" s="1"/>
      <c r="T1733" s="1"/>
      <c r="U1733" s="1"/>
    </row>
    <row r="1734" spans="1:21" ht="9.75" customHeight="1" x14ac:dyDescent="0.4">
      <c r="A1734" s="1"/>
      <c r="B1734" s="1"/>
      <c r="C1734" s="17"/>
      <c r="D1734" s="17" t="s">
        <v>301</v>
      </c>
      <c r="E1734" s="17"/>
      <c r="F1734" s="32"/>
      <c r="G1734" s="6"/>
      <c r="H1734" s="6"/>
      <c r="I1734" s="6"/>
      <c r="J1734" s="6"/>
      <c r="K1734" s="6"/>
      <c r="L1734" s="6"/>
      <c r="M1734" s="6"/>
      <c r="N1734" s="6"/>
      <c r="O1734" s="31"/>
      <c r="P1734" s="32"/>
      <c r="Q1734" s="6"/>
      <c r="R1734" s="59"/>
      <c r="S1734" s="1"/>
      <c r="T1734" s="1"/>
      <c r="U1734" s="1"/>
    </row>
    <row r="1735" spans="1:21" ht="9.75" customHeight="1" x14ac:dyDescent="0.4">
      <c r="A1735" s="1"/>
      <c r="B1735" s="1"/>
      <c r="C1735" s="17"/>
      <c r="D1735" s="17" t="s">
        <v>303</v>
      </c>
      <c r="E1735" s="17"/>
      <c r="F1735" s="32"/>
      <c r="G1735" s="6"/>
      <c r="H1735" s="6"/>
      <c r="I1735" s="6"/>
      <c r="J1735" s="6"/>
      <c r="K1735" s="6"/>
      <c r="L1735" s="6"/>
      <c r="M1735" s="6"/>
      <c r="N1735" s="6"/>
      <c r="O1735" s="31"/>
      <c r="P1735" s="32"/>
      <c r="Q1735" s="6"/>
      <c r="R1735" s="59"/>
      <c r="S1735" s="1"/>
      <c r="T1735" s="1"/>
      <c r="U1735" s="1"/>
    </row>
    <row r="1736" spans="1:21" ht="9.75" customHeight="1" x14ac:dyDescent="0.4">
      <c r="A1736" s="1"/>
      <c r="B1736" s="1"/>
      <c r="C1736" s="17"/>
      <c r="D1736" s="17" t="s">
        <v>369</v>
      </c>
      <c r="E1736" s="17"/>
      <c r="F1736" s="32"/>
      <c r="G1736" s="6"/>
      <c r="H1736" s="6"/>
      <c r="I1736" s="6"/>
      <c r="J1736" s="6"/>
      <c r="K1736" s="6"/>
      <c r="L1736" s="6"/>
      <c r="M1736" s="6"/>
      <c r="N1736" s="6"/>
      <c r="O1736" s="31"/>
      <c r="P1736" s="32"/>
      <c r="Q1736" s="6"/>
      <c r="R1736" s="59"/>
      <c r="S1736" s="1"/>
      <c r="T1736" s="1"/>
      <c r="U1736" s="1"/>
    </row>
    <row r="1737" spans="1:21" ht="9.75" customHeight="1" x14ac:dyDescent="0.4">
      <c r="A1737" s="1"/>
      <c r="B1737" s="1"/>
      <c r="C1737" s="17"/>
      <c r="D1737" s="17" t="s">
        <v>369</v>
      </c>
      <c r="E1737" s="17"/>
      <c r="F1737" s="32"/>
      <c r="G1737" s="6"/>
      <c r="H1737" s="6"/>
      <c r="I1737" s="6"/>
      <c r="J1737" s="6"/>
      <c r="K1737" s="6"/>
      <c r="L1737" s="6"/>
      <c r="M1737" s="6"/>
      <c r="N1737" s="6"/>
      <c r="O1737" s="31"/>
      <c r="P1737" s="32"/>
      <c r="Q1737" s="6"/>
      <c r="R1737" s="59"/>
      <c r="S1737" s="1"/>
      <c r="T1737" s="1"/>
      <c r="U1737" s="1"/>
    </row>
    <row r="1738" spans="1:21" ht="9.75" customHeight="1" x14ac:dyDescent="0.4">
      <c r="A1738" s="1"/>
      <c r="B1738" s="1"/>
      <c r="C1738" s="17"/>
      <c r="D1738" s="17" t="s">
        <v>308</v>
      </c>
      <c r="E1738" s="17">
        <v>3</v>
      </c>
      <c r="F1738" s="32">
        <v>2</v>
      </c>
      <c r="G1738" s="6">
        <v>2</v>
      </c>
      <c r="H1738" s="6">
        <v>2</v>
      </c>
      <c r="I1738" s="6">
        <v>2</v>
      </c>
      <c r="J1738" s="6">
        <v>1</v>
      </c>
      <c r="K1738" s="6">
        <v>0</v>
      </c>
      <c r="L1738" s="6">
        <v>0</v>
      </c>
      <c r="M1738" s="6">
        <v>0</v>
      </c>
      <c r="N1738" s="6">
        <v>0</v>
      </c>
      <c r="O1738" s="31">
        <v>0</v>
      </c>
      <c r="P1738" s="32">
        <f>MIN(F1738:O1738)</f>
        <v>0</v>
      </c>
      <c r="Q1738" s="6">
        <f>E1738-P1738</f>
        <v>3</v>
      </c>
      <c r="R1738" s="59">
        <f>Q1738/E1738</f>
        <v>1</v>
      </c>
      <c r="S1738" s="1"/>
      <c r="T1738" s="1"/>
      <c r="U1738" s="1"/>
    </row>
    <row r="1739" spans="1:21" ht="9.75" customHeight="1" x14ac:dyDescent="0.4">
      <c r="A1739" s="1"/>
      <c r="B1739" s="1"/>
      <c r="C1739" s="17"/>
      <c r="D1739" s="17" t="s">
        <v>374</v>
      </c>
      <c r="E1739" s="17"/>
      <c r="F1739" s="32"/>
      <c r="G1739" s="6"/>
      <c r="H1739" s="6"/>
      <c r="I1739" s="6"/>
      <c r="J1739" s="6"/>
      <c r="K1739" s="6"/>
      <c r="L1739" s="6"/>
      <c r="M1739" s="6"/>
      <c r="N1739" s="6"/>
      <c r="O1739" s="31"/>
      <c r="P1739" s="32"/>
      <c r="Q1739" s="6"/>
      <c r="R1739" s="59"/>
      <c r="S1739" s="1"/>
      <c r="T1739" s="1"/>
      <c r="U1739" s="1"/>
    </row>
    <row r="1740" spans="1:21" ht="9.75" customHeight="1" x14ac:dyDescent="0.4">
      <c r="A1740" s="1"/>
      <c r="B1740" s="1"/>
      <c r="C1740" s="17"/>
      <c r="D1740" s="17" t="s">
        <v>374</v>
      </c>
      <c r="E1740" s="17"/>
      <c r="F1740" s="32"/>
      <c r="G1740" s="6"/>
      <c r="H1740" s="6"/>
      <c r="I1740" s="6"/>
      <c r="J1740" s="6"/>
      <c r="K1740" s="6"/>
      <c r="L1740" s="6"/>
      <c r="M1740" s="6"/>
      <c r="N1740" s="6"/>
      <c r="O1740" s="31"/>
      <c r="P1740" s="32"/>
      <c r="Q1740" s="6"/>
      <c r="R1740" s="59"/>
      <c r="S1740" s="1"/>
      <c r="T1740" s="1"/>
      <c r="U1740" s="1"/>
    </row>
    <row r="1741" spans="1:21" ht="9.75" customHeight="1" x14ac:dyDescent="0.4">
      <c r="A1741" s="1"/>
      <c r="B1741" s="1"/>
      <c r="C1741" s="17"/>
      <c r="D1741" s="17" t="s">
        <v>374</v>
      </c>
      <c r="E1741" s="17"/>
      <c r="F1741" s="32"/>
      <c r="G1741" s="6"/>
      <c r="H1741" s="6"/>
      <c r="I1741" s="6"/>
      <c r="J1741" s="6"/>
      <c r="K1741" s="6"/>
      <c r="L1741" s="6"/>
      <c r="M1741" s="6"/>
      <c r="N1741" s="6"/>
      <c r="O1741" s="31"/>
      <c r="P1741" s="32"/>
      <c r="Q1741" s="6"/>
      <c r="R1741" s="59"/>
      <c r="S1741" s="1"/>
      <c r="T1741" s="1"/>
      <c r="U1741" s="1"/>
    </row>
    <row r="1742" spans="1:21" ht="9.75" customHeight="1" x14ac:dyDescent="0.4">
      <c r="A1742" s="1"/>
      <c r="B1742" s="1"/>
      <c r="C1742" s="17"/>
      <c r="D1742" s="17" t="s">
        <v>374</v>
      </c>
      <c r="E1742" s="17"/>
      <c r="F1742" s="32"/>
      <c r="G1742" s="6"/>
      <c r="H1742" s="6"/>
      <c r="I1742" s="6"/>
      <c r="J1742" s="6"/>
      <c r="K1742" s="6"/>
      <c r="L1742" s="6"/>
      <c r="M1742" s="6"/>
      <c r="N1742" s="6"/>
      <c r="O1742" s="31"/>
      <c r="P1742" s="32"/>
      <c r="Q1742" s="6"/>
      <c r="R1742" s="59"/>
      <c r="S1742" s="1"/>
      <c r="T1742" s="1"/>
      <c r="U1742" s="1"/>
    </row>
    <row r="1743" spans="1:21" ht="9.75" customHeight="1" x14ac:dyDescent="0.4">
      <c r="A1743" s="1"/>
      <c r="B1743" s="1"/>
      <c r="C1743" s="17"/>
      <c r="D1743" s="17" t="s">
        <v>374</v>
      </c>
      <c r="E1743" s="17"/>
      <c r="F1743" s="32"/>
      <c r="G1743" s="6"/>
      <c r="H1743" s="6"/>
      <c r="I1743" s="6"/>
      <c r="J1743" s="6"/>
      <c r="K1743" s="6"/>
      <c r="L1743" s="6"/>
      <c r="M1743" s="6"/>
      <c r="N1743" s="6"/>
      <c r="O1743" s="31"/>
      <c r="P1743" s="32"/>
      <c r="Q1743" s="6"/>
      <c r="R1743" s="59"/>
      <c r="S1743" s="1"/>
      <c r="T1743" s="1"/>
      <c r="U1743" s="1"/>
    </row>
    <row r="1744" spans="1:21" ht="9.75" customHeight="1" x14ac:dyDescent="0.4">
      <c r="A1744" s="1"/>
      <c r="B1744" s="1"/>
      <c r="C1744" s="17"/>
      <c r="D1744" s="17" t="s">
        <v>374</v>
      </c>
      <c r="E1744" s="17"/>
      <c r="F1744" s="32"/>
      <c r="G1744" s="6"/>
      <c r="H1744" s="6"/>
      <c r="I1744" s="6"/>
      <c r="J1744" s="6"/>
      <c r="K1744" s="6"/>
      <c r="L1744" s="6"/>
      <c r="M1744" s="6"/>
      <c r="N1744" s="6"/>
      <c r="O1744" s="31"/>
      <c r="P1744" s="32"/>
      <c r="Q1744" s="6"/>
      <c r="R1744" s="59"/>
      <c r="S1744" s="1"/>
      <c r="T1744" s="1"/>
      <c r="U1744" s="1"/>
    </row>
    <row r="1745" spans="1:21" ht="9.75" customHeight="1" x14ac:dyDescent="0.4">
      <c r="A1745" s="1"/>
      <c r="B1745" s="1"/>
      <c r="C1745" s="17"/>
      <c r="D1745" s="17" t="s">
        <v>310</v>
      </c>
      <c r="E1745" s="17">
        <v>2</v>
      </c>
      <c r="F1745" s="32">
        <v>0</v>
      </c>
      <c r="G1745" s="6">
        <v>0</v>
      </c>
      <c r="H1745" s="6">
        <v>1</v>
      </c>
      <c r="I1745" s="6">
        <v>1</v>
      </c>
      <c r="J1745" s="6">
        <v>1</v>
      </c>
      <c r="K1745" s="6">
        <v>1</v>
      </c>
      <c r="L1745" s="6">
        <v>1</v>
      </c>
      <c r="M1745" s="6">
        <v>1</v>
      </c>
      <c r="N1745" s="6">
        <v>1</v>
      </c>
      <c r="O1745" s="31">
        <v>0</v>
      </c>
      <c r="P1745" s="32">
        <f>MIN(F1745:O1745)</f>
        <v>0</v>
      </c>
      <c r="Q1745" s="6">
        <f>E1745-P1745</f>
        <v>2</v>
      </c>
      <c r="R1745" s="59">
        <f>Q1745/E1745</f>
        <v>1</v>
      </c>
      <c r="S1745" s="1"/>
      <c r="T1745" s="1"/>
      <c r="U1745" s="1"/>
    </row>
    <row r="1746" spans="1:21" ht="9.75" customHeight="1" x14ac:dyDescent="0.4">
      <c r="A1746" s="1"/>
      <c r="B1746" s="1"/>
      <c r="C1746" s="17"/>
      <c r="D1746" s="17" t="s">
        <v>311</v>
      </c>
      <c r="E1746" s="17"/>
      <c r="F1746" s="32"/>
      <c r="G1746" s="6"/>
      <c r="H1746" s="6"/>
      <c r="I1746" s="6"/>
      <c r="J1746" s="6"/>
      <c r="K1746" s="6"/>
      <c r="L1746" s="6"/>
      <c r="M1746" s="6"/>
      <c r="N1746" s="6"/>
      <c r="O1746" s="31"/>
      <c r="P1746" s="32"/>
      <c r="Q1746" s="6"/>
      <c r="R1746" s="59"/>
      <c r="S1746" s="1"/>
      <c r="T1746" s="1"/>
      <c r="U1746" s="1"/>
    </row>
    <row r="1747" spans="1:21" ht="9.75" customHeight="1" x14ac:dyDescent="0.4">
      <c r="A1747" s="1"/>
      <c r="B1747" s="1"/>
      <c r="C1747" s="17"/>
      <c r="D1747" s="17" t="s">
        <v>312</v>
      </c>
      <c r="E1747" s="17"/>
      <c r="F1747" s="32"/>
      <c r="G1747" s="6"/>
      <c r="H1747" s="6"/>
      <c r="I1747" s="6"/>
      <c r="J1747" s="6"/>
      <c r="K1747" s="6"/>
      <c r="L1747" s="6"/>
      <c r="M1747" s="6"/>
      <c r="N1747" s="6"/>
      <c r="O1747" s="31"/>
      <c r="P1747" s="32"/>
      <c r="Q1747" s="6"/>
      <c r="R1747" s="59"/>
      <c r="S1747" s="1"/>
      <c r="T1747" s="1"/>
      <c r="U1747" s="1"/>
    </row>
    <row r="1748" spans="1:21" ht="9.75" customHeight="1" x14ac:dyDescent="0.4">
      <c r="A1748" s="1"/>
      <c r="B1748" s="1"/>
      <c r="C1748" s="17"/>
      <c r="D1748" s="17" t="s">
        <v>313</v>
      </c>
      <c r="E1748" s="17">
        <v>5</v>
      </c>
      <c r="F1748" s="32">
        <v>2</v>
      </c>
      <c r="G1748" s="6">
        <v>4</v>
      </c>
      <c r="H1748" s="6">
        <v>3</v>
      </c>
      <c r="I1748" s="6">
        <v>4</v>
      </c>
      <c r="J1748" s="6">
        <v>1</v>
      </c>
      <c r="K1748" s="6">
        <v>1</v>
      </c>
      <c r="L1748" s="6">
        <v>2</v>
      </c>
      <c r="M1748" s="6">
        <v>2</v>
      </c>
      <c r="N1748" s="6">
        <v>3</v>
      </c>
      <c r="O1748" s="31">
        <v>3</v>
      </c>
      <c r="P1748" s="32">
        <f t="shared" ref="P1748:P1750" si="286">MIN(F1748:O1748)</f>
        <v>1</v>
      </c>
      <c r="Q1748" s="6">
        <f t="shared" ref="Q1748:Q1750" si="287">E1748-P1748</f>
        <v>4</v>
      </c>
      <c r="R1748" s="59">
        <f t="shared" ref="R1748:R1750" si="288">Q1748/E1748</f>
        <v>0.8</v>
      </c>
      <c r="S1748" s="1"/>
      <c r="T1748" s="1"/>
      <c r="U1748" s="1"/>
    </row>
    <row r="1749" spans="1:21" ht="9.75" customHeight="1" x14ac:dyDescent="0.4">
      <c r="A1749" s="1"/>
      <c r="B1749" s="1" t="s">
        <v>395</v>
      </c>
      <c r="C1749" s="34"/>
      <c r="D1749" s="65" t="s">
        <v>314</v>
      </c>
      <c r="E1749" s="65">
        <f t="shared" ref="E1749:O1749" si="289">SUM(E1733:E1748)</f>
        <v>10</v>
      </c>
      <c r="F1749" s="104">
        <f t="shared" si="289"/>
        <v>4</v>
      </c>
      <c r="G1749" s="128">
        <f t="shared" si="289"/>
        <v>6</v>
      </c>
      <c r="H1749" s="128">
        <f t="shared" si="289"/>
        <v>6</v>
      </c>
      <c r="I1749" s="128">
        <f t="shared" si="289"/>
        <v>7</v>
      </c>
      <c r="J1749" s="128">
        <f t="shared" si="289"/>
        <v>3</v>
      </c>
      <c r="K1749" s="128">
        <f t="shared" si="289"/>
        <v>2</v>
      </c>
      <c r="L1749" s="128">
        <f t="shared" si="289"/>
        <v>3</v>
      </c>
      <c r="M1749" s="128">
        <f t="shared" si="289"/>
        <v>3</v>
      </c>
      <c r="N1749" s="128">
        <f t="shared" si="289"/>
        <v>4</v>
      </c>
      <c r="O1749" s="129">
        <f t="shared" si="289"/>
        <v>3</v>
      </c>
      <c r="P1749" s="104">
        <f t="shared" si="286"/>
        <v>2</v>
      </c>
      <c r="Q1749" s="128">
        <f t="shared" si="287"/>
        <v>8</v>
      </c>
      <c r="R1749" s="72">
        <f t="shared" si="288"/>
        <v>0.8</v>
      </c>
      <c r="S1749" s="1"/>
      <c r="T1749" s="1"/>
      <c r="U1749" s="1"/>
    </row>
    <row r="1750" spans="1:21" ht="9.75" customHeight="1" x14ac:dyDescent="0.4">
      <c r="A1750" s="1"/>
      <c r="B1750" s="1"/>
      <c r="C1750" s="17" t="s">
        <v>189</v>
      </c>
      <c r="D1750" s="15" t="s">
        <v>300</v>
      </c>
      <c r="E1750" s="15">
        <v>116</v>
      </c>
      <c r="F1750" s="73">
        <v>6</v>
      </c>
      <c r="G1750" s="108">
        <v>2</v>
      </c>
      <c r="H1750" s="108">
        <v>2</v>
      </c>
      <c r="I1750" s="108">
        <v>1</v>
      </c>
      <c r="J1750" s="108">
        <v>1</v>
      </c>
      <c r="K1750" s="108">
        <v>0</v>
      </c>
      <c r="L1750" s="108">
        <v>0</v>
      </c>
      <c r="M1750" s="108">
        <v>1</v>
      </c>
      <c r="N1750" s="108">
        <v>5</v>
      </c>
      <c r="O1750" s="109">
        <v>8</v>
      </c>
      <c r="P1750" s="73">
        <f t="shared" si="286"/>
        <v>0</v>
      </c>
      <c r="Q1750" s="108">
        <f t="shared" si="287"/>
        <v>116</v>
      </c>
      <c r="R1750" s="188">
        <f t="shared" si="288"/>
        <v>1</v>
      </c>
      <c r="S1750" s="1"/>
      <c r="T1750" s="1"/>
      <c r="U1750" s="1"/>
    </row>
    <row r="1751" spans="1:21" ht="9.75" customHeight="1" x14ac:dyDescent="0.4">
      <c r="A1751" s="1"/>
      <c r="B1751" s="1"/>
      <c r="C1751" s="17"/>
      <c r="D1751" s="17" t="s">
        <v>301</v>
      </c>
      <c r="E1751" s="17"/>
      <c r="F1751" s="32"/>
      <c r="G1751" s="6"/>
      <c r="H1751" s="6"/>
      <c r="I1751" s="6"/>
      <c r="J1751" s="6"/>
      <c r="K1751" s="6"/>
      <c r="L1751" s="6"/>
      <c r="M1751" s="6"/>
      <c r="N1751" s="6"/>
      <c r="O1751" s="31"/>
      <c r="P1751" s="32"/>
      <c r="Q1751" s="6"/>
      <c r="R1751" s="59"/>
      <c r="S1751" s="1"/>
      <c r="T1751" s="1"/>
      <c r="U1751" s="1"/>
    </row>
    <row r="1752" spans="1:21" ht="9.75" customHeight="1" x14ac:dyDescent="0.4">
      <c r="A1752" s="1"/>
      <c r="B1752" s="1"/>
      <c r="C1752" s="17"/>
      <c r="D1752" s="17" t="s">
        <v>303</v>
      </c>
      <c r="E1752" s="17"/>
      <c r="F1752" s="32"/>
      <c r="G1752" s="6"/>
      <c r="H1752" s="6"/>
      <c r="I1752" s="6"/>
      <c r="J1752" s="6"/>
      <c r="K1752" s="6"/>
      <c r="L1752" s="6"/>
      <c r="M1752" s="6"/>
      <c r="N1752" s="6"/>
      <c r="O1752" s="31"/>
      <c r="P1752" s="32"/>
      <c r="Q1752" s="6"/>
      <c r="R1752" s="59"/>
      <c r="S1752" s="1"/>
      <c r="T1752" s="1"/>
      <c r="U1752" s="1"/>
    </row>
    <row r="1753" spans="1:21" ht="9.75" customHeight="1" x14ac:dyDescent="0.4">
      <c r="A1753" s="1"/>
      <c r="B1753" s="1"/>
      <c r="C1753" s="17"/>
      <c r="D1753" s="17" t="s">
        <v>369</v>
      </c>
      <c r="E1753" s="17"/>
      <c r="F1753" s="32"/>
      <c r="G1753" s="6"/>
      <c r="H1753" s="6"/>
      <c r="I1753" s="6"/>
      <c r="J1753" s="6"/>
      <c r="K1753" s="6"/>
      <c r="L1753" s="6"/>
      <c r="M1753" s="6"/>
      <c r="N1753" s="6"/>
      <c r="O1753" s="31"/>
      <c r="P1753" s="32"/>
      <c r="Q1753" s="6"/>
      <c r="R1753" s="59"/>
      <c r="S1753" s="1"/>
      <c r="T1753" s="1"/>
      <c r="U1753" s="1"/>
    </row>
    <row r="1754" spans="1:21" ht="9.75" customHeight="1" x14ac:dyDescent="0.4">
      <c r="A1754" s="1"/>
      <c r="B1754" s="1"/>
      <c r="C1754" s="17"/>
      <c r="D1754" s="17" t="s">
        <v>369</v>
      </c>
      <c r="E1754" s="17"/>
      <c r="F1754" s="32"/>
      <c r="G1754" s="6"/>
      <c r="H1754" s="6"/>
      <c r="I1754" s="6"/>
      <c r="J1754" s="6"/>
      <c r="K1754" s="6"/>
      <c r="L1754" s="6"/>
      <c r="M1754" s="6"/>
      <c r="N1754" s="6"/>
      <c r="O1754" s="31"/>
      <c r="P1754" s="32"/>
      <c r="Q1754" s="6"/>
      <c r="R1754" s="59"/>
      <c r="S1754" s="1"/>
      <c r="T1754" s="1"/>
      <c r="U1754" s="1"/>
    </row>
    <row r="1755" spans="1:21" ht="9.75" customHeight="1" x14ac:dyDescent="0.4">
      <c r="A1755" s="1"/>
      <c r="B1755" s="1"/>
      <c r="C1755" s="17"/>
      <c r="D1755" s="17" t="s">
        <v>404</v>
      </c>
      <c r="E1755" s="17">
        <v>4</v>
      </c>
      <c r="F1755" s="32">
        <v>3</v>
      </c>
      <c r="G1755" s="6">
        <v>2</v>
      </c>
      <c r="H1755" s="6">
        <v>2</v>
      </c>
      <c r="I1755" s="6">
        <v>3</v>
      </c>
      <c r="J1755" s="6">
        <v>3</v>
      </c>
      <c r="K1755" s="6">
        <v>3</v>
      </c>
      <c r="L1755" s="6">
        <v>3</v>
      </c>
      <c r="M1755" s="6">
        <v>0</v>
      </c>
      <c r="N1755" s="6">
        <v>0</v>
      </c>
      <c r="O1755" s="31">
        <v>0</v>
      </c>
      <c r="P1755" s="32">
        <f t="shared" ref="P1755:P1757" si="290">MIN(F1755:O1755)</f>
        <v>0</v>
      </c>
      <c r="Q1755" s="6">
        <f t="shared" ref="Q1755:Q1757" si="291">E1755-P1755</f>
        <v>4</v>
      </c>
      <c r="R1755" s="59">
        <f t="shared" ref="R1755:R1757" si="292">Q1755/E1755</f>
        <v>1</v>
      </c>
      <c r="S1755" s="1"/>
      <c r="T1755" s="1"/>
      <c r="U1755" s="1"/>
    </row>
    <row r="1756" spans="1:21" ht="9.75" customHeight="1" x14ac:dyDescent="0.4">
      <c r="A1756" s="1"/>
      <c r="B1756" s="1"/>
      <c r="C1756" s="17"/>
      <c r="D1756" s="17" t="s">
        <v>437</v>
      </c>
      <c r="E1756" s="17">
        <v>2</v>
      </c>
      <c r="F1756" s="32">
        <v>2</v>
      </c>
      <c r="G1756" s="6">
        <v>2</v>
      </c>
      <c r="H1756" s="6">
        <v>1</v>
      </c>
      <c r="I1756" s="6">
        <v>0</v>
      </c>
      <c r="J1756" s="6">
        <v>0</v>
      </c>
      <c r="K1756" s="6">
        <v>0</v>
      </c>
      <c r="L1756" s="6">
        <v>1</v>
      </c>
      <c r="M1756" s="6">
        <v>1</v>
      </c>
      <c r="N1756" s="6">
        <v>1</v>
      </c>
      <c r="O1756" s="31">
        <v>2</v>
      </c>
      <c r="P1756" s="32">
        <f t="shared" si="290"/>
        <v>0</v>
      </c>
      <c r="Q1756" s="6">
        <f t="shared" si="291"/>
        <v>2</v>
      </c>
      <c r="R1756" s="59">
        <f t="shared" si="292"/>
        <v>1</v>
      </c>
      <c r="S1756" s="1"/>
      <c r="T1756" s="1"/>
      <c r="U1756" s="1"/>
    </row>
    <row r="1757" spans="1:21" ht="9.75" customHeight="1" x14ac:dyDescent="0.4">
      <c r="A1757" s="1"/>
      <c r="B1757" s="1"/>
      <c r="C1757" s="17"/>
      <c r="D1757" s="17" t="s">
        <v>372</v>
      </c>
      <c r="E1757" s="17">
        <v>6</v>
      </c>
      <c r="F1757" s="32">
        <v>2</v>
      </c>
      <c r="G1757" s="6">
        <v>3</v>
      </c>
      <c r="H1757" s="6">
        <v>3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1</v>
      </c>
      <c r="O1757" s="31">
        <v>2</v>
      </c>
      <c r="P1757" s="32">
        <f t="shared" si="290"/>
        <v>0</v>
      </c>
      <c r="Q1757" s="6">
        <f t="shared" si="291"/>
        <v>6</v>
      </c>
      <c r="R1757" s="59">
        <f t="shared" si="292"/>
        <v>1</v>
      </c>
      <c r="S1757" s="1"/>
      <c r="T1757" s="1"/>
      <c r="U1757" s="1"/>
    </row>
    <row r="1758" spans="1:21" ht="9.75" customHeight="1" x14ac:dyDescent="0.4">
      <c r="A1758" s="1"/>
      <c r="B1758" s="1"/>
      <c r="C1758" s="17"/>
      <c r="D1758" s="17" t="s">
        <v>374</v>
      </c>
      <c r="E1758" s="17"/>
      <c r="F1758" s="32"/>
      <c r="G1758" s="6"/>
      <c r="H1758" s="6"/>
      <c r="I1758" s="6"/>
      <c r="J1758" s="6"/>
      <c r="K1758" s="6"/>
      <c r="L1758" s="6"/>
      <c r="M1758" s="6"/>
      <c r="N1758" s="6"/>
      <c r="O1758" s="31"/>
      <c r="P1758" s="32"/>
      <c r="Q1758" s="6"/>
      <c r="R1758" s="59"/>
      <c r="S1758" s="1"/>
      <c r="T1758" s="1"/>
      <c r="U1758" s="1"/>
    </row>
    <row r="1759" spans="1:21" ht="9.75" customHeight="1" x14ac:dyDescent="0.4">
      <c r="A1759" s="1"/>
      <c r="B1759" s="1"/>
      <c r="C1759" s="17"/>
      <c r="D1759" s="17" t="s">
        <v>374</v>
      </c>
      <c r="E1759" s="17"/>
      <c r="F1759" s="32"/>
      <c r="G1759" s="6"/>
      <c r="H1759" s="6"/>
      <c r="I1759" s="6"/>
      <c r="J1759" s="6"/>
      <c r="K1759" s="6"/>
      <c r="L1759" s="6"/>
      <c r="M1759" s="6"/>
      <c r="N1759" s="6"/>
      <c r="O1759" s="31"/>
      <c r="P1759" s="32"/>
      <c r="Q1759" s="6"/>
      <c r="R1759" s="59"/>
      <c r="S1759" s="1"/>
      <c r="T1759" s="1"/>
      <c r="U1759" s="1"/>
    </row>
    <row r="1760" spans="1:21" ht="9.75" customHeight="1" x14ac:dyDescent="0.4">
      <c r="A1760" s="1"/>
      <c r="B1760" s="1"/>
      <c r="C1760" s="17"/>
      <c r="D1760" s="17" t="s">
        <v>374</v>
      </c>
      <c r="E1760" s="17"/>
      <c r="F1760" s="32"/>
      <c r="G1760" s="6"/>
      <c r="H1760" s="6"/>
      <c r="I1760" s="6"/>
      <c r="J1760" s="6"/>
      <c r="K1760" s="6"/>
      <c r="L1760" s="6"/>
      <c r="M1760" s="6"/>
      <c r="N1760" s="6"/>
      <c r="O1760" s="31"/>
      <c r="P1760" s="32"/>
      <c r="Q1760" s="6"/>
      <c r="R1760" s="59"/>
      <c r="S1760" s="1"/>
      <c r="T1760" s="1"/>
      <c r="U1760" s="1"/>
    </row>
    <row r="1761" spans="1:21" ht="9.75" customHeight="1" x14ac:dyDescent="0.4">
      <c r="A1761" s="1"/>
      <c r="B1761" s="1"/>
      <c r="C1761" s="17"/>
      <c r="D1761" s="17" t="s">
        <v>374</v>
      </c>
      <c r="E1761" s="17"/>
      <c r="F1761" s="32"/>
      <c r="G1761" s="6"/>
      <c r="H1761" s="6"/>
      <c r="I1761" s="6"/>
      <c r="J1761" s="6"/>
      <c r="K1761" s="6"/>
      <c r="L1761" s="6"/>
      <c r="M1761" s="6"/>
      <c r="N1761" s="6"/>
      <c r="O1761" s="31"/>
      <c r="P1761" s="32"/>
      <c r="Q1761" s="6"/>
      <c r="R1761" s="59"/>
      <c r="S1761" s="1"/>
      <c r="T1761" s="1"/>
      <c r="U1761" s="1"/>
    </row>
    <row r="1762" spans="1:21" ht="9.75" customHeight="1" x14ac:dyDescent="0.4">
      <c r="A1762" s="1"/>
      <c r="B1762" s="1"/>
      <c r="C1762" s="17"/>
      <c r="D1762" s="17" t="s">
        <v>310</v>
      </c>
      <c r="E1762" s="17">
        <v>5</v>
      </c>
      <c r="F1762" s="32">
        <v>4</v>
      </c>
      <c r="G1762" s="6">
        <v>3</v>
      </c>
      <c r="H1762" s="6">
        <v>2</v>
      </c>
      <c r="I1762" s="6">
        <v>0</v>
      </c>
      <c r="J1762" s="6">
        <v>0</v>
      </c>
      <c r="K1762" s="6">
        <v>0</v>
      </c>
      <c r="L1762" s="6">
        <v>0</v>
      </c>
      <c r="M1762" s="6">
        <v>2</v>
      </c>
      <c r="N1762" s="6">
        <v>2</v>
      </c>
      <c r="O1762" s="31">
        <v>4</v>
      </c>
      <c r="P1762" s="32">
        <f>MIN(F1762:O1762)</f>
        <v>0</v>
      </c>
      <c r="Q1762" s="6">
        <f>E1762-P1762</f>
        <v>5</v>
      </c>
      <c r="R1762" s="59">
        <f>Q1762/E1762</f>
        <v>1</v>
      </c>
      <c r="S1762" s="1"/>
      <c r="T1762" s="1"/>
      <c r="U1762" s="1"/>
    </row>
    <row r="1763" spans="1:21" ht="9.75" customHeight="1" x14ac:dyDescent="0.4">
      <c r="A1763" s="1"/>
      <c r="B1763" s="1"/>
      <c r="C1763" s="17"/>
      <c r="D1763" s="17" t="s">
        <v>311</v>
      </c>
      <c r="E1763" s="17"/>
      <c r="F1763" s="32"/>
      <c r="G1763" s="6"/>
      <c r="H1763" s="6"/>
      <c r="I1763" s="6"/>
      <c r="J1763" s="6"/>
      <c r="K1763" s="6"/>
      <c r="L1763" s="6"/>
      <c r="M1763" s="6"/>
      <c r="N1763" s="6"/>
      <c r="O1763" s="31"/>
      <c r="P1763" s="32"/>
      <c r="Q1763" s="6"/>
      <c r="R1763" s="59"/>
      <c r="S1763" s="1"/>
      <c r="T1763" s="1"/>
      <c r="U1763" s="1"/>
    </row>
    <row r="1764" spans="1:21" ht="9.75" customHeight="1" x14ac:dyDescent="0.4">
      <c r="A1764" s="1"/>
      <c r="B1764" s="1"/>
      <c r="C1764" s="17"/>
      <c r="D1764" s="17" t="s">
        <v>312</v>
      </c>
      <c r="E1764" s="17"/>
      <c r="F1764" s="32"/>
      <c r="G1764" s="6"/>
      <c r="H1764" s="6"/>
      <c r="I1764" s="6"/>
      <c r="J1764" s="6"/>
      <c r="K1764" s="6"/>
      <c r="L1764" s="6"/>
      <c r="M1764" s="6"/>
      <c r="N1764" s="6"/>
      <c r="O1764" s="31"/>
      <c r="P1764" s="32"/>
      <c r="Q1764" s="6"/>
      <c r="R1764" s="59"/>
      <c r="S1764" s="1"/>
      <c r="T1764" s="1"/>
      <c r="U1764" s="1"/>
    </row>
    <row r="1765" spans="1:21" ht="9.75" customHeight="1" x14ac:dyDescent="0.4">
      <c r="A1765" s="1"/>
      <c r="B1765" s="1"/>
      <c r="C1765" s="17"/>
      <c r="D1765" s="17" t="s">
        <v>313</v>
      </c>
      <c r="E1765" s="17"/>
      <c r="F1765" s="32"/>
      <c r="G1765" s="6"/>
      <c r="H1765" s="6"/>
      <c r="I1765" s="6"/>
      <c r="J1765" s="6"/>
      <c r="K1765" s="6"/>
      <c r="L1765" s="6"/>
      <c r="M1765" s="6"/>
      <c r="N1765" s="6"/>
      <c r="O1765" s="31"/>
      <c r="P1765" s="32"/>
      <c r="Q1765" s="6"/>
      <c r="R1765" s="59"/>
      <c r="S1765" s="1"/>
      <c r="T1765" s="1"/>
      <c r="U1765" s="1"/>
    </row>
    <row r="1766" spans="1:21" ht="9.75" customHeight="1" x14ac:dyDescent="0.4">
      <c r="A1766" s="1"/>
      <c r="B1766" s="1" t="s">
        <v>395</v>
      </c>
      <c r="C1766" s="17"/>
      <c r="D1766" s="65" t="s">
        <v>314</v>
      </c>
      <c r="E1766" s="155">
        <f t="shared" ref="E1766:O1766" si="293">SUM(E1750:E1765)</f>
        <v>133</v>
      </c>
      <c r="F1766" s="101">
        <f t="shared" si="293"/>
        <v>17</v>
      </c>
      <c r="G1766" s="102">
        <f t="shared" si="293"/>
        <v>12</v>
      </c>
      <c r="H1766" s="102">
        <f t="shared" si="293"/>
        <v>10</v>
      </c>
      <c r="I1766" s="102">
        <f t="shared" si="293"/>
        <v>4</v>
      </c>
      <c r="J1766" s="102">
        <f t="shared" si="293"/>
        <v>4</v>
      </c>
      <c r="K1766" s="102">
        <f t="shared" si="293"/>
        <v>3</v>
      </c>
      <c r="L1766" s="102">
        <f t="shared" si="293"/>
        <v>4</v>
      </c>
      <c r="M1766" s="102">
        <f t="shared" si="293"/>
        <v>4</v>
      </c>
      <c r="N1766" s="102">
        <f t="shared" si="293"/>
        <v>9</v>
      </c>
      <c r="O1766" s="103">
        <f t="shared" si="293"/>
        <v>16</v>
      </c>
      <c r="P1766" s="101">
        <f>MIN(F1766:O1766)</f>
        <v>3</v>
      </c>
      <c r="Q1766" s="102">
        <f>E1766-P1766</f>
        <v>130</v>
      </c>
      <c r="R1766" s="375">
        <f>Q1766/E1766</f>
        <v>0.97744360902255634</v>
      </c>
      <c r="S1766" s="1"/>
      <c r="T1766" s="1"/>
      <c r="U1766" s="1"/>
    </row>
    <row r="1767" spans="1:21" ht="9.75" customHeight="1" x14ac:dyDescent="0.4">
      <c r="A1767" s="1"/>
      <c r="B1767" s="1"/>
      <c r="C1767" s="15" t="s">
        <v>199</v>
      </c>
      <c r="D1767" s="15" t="s">
        <v>300</v>
      </c>
      <c r="E1767" s="15"/>
      <c r="F1767" s="73"/>
      <c r="G1767" s="108"/>
      <c r="H1767" s="108"/>
      <c r="I1767" s="108"/>
      <c r="J1767" s="108"/>
      <c r="K1767" s="108"/>
      <c r="L1767" s="108"/>
      <c r="M1767" s="108"/>
      <c r="N1767" s="108"/>
      <c r="O1767" s="109"/>
      <c r="P1767" s="73"/>
      <c r="Q1767" s="108"/>
      <c r="R1767" s="188"/>
      <c r="S1767" s="1"/>
      <c r="T1767" s="1"/>
      <c r="U1767" s="1"/>
    </row>
    <row r="1768" spans="1:21" ht="9.75" customHeight="1" x14ac:dyDescent="0.4">
      <c r="A1768" s="1"/>
      <c r="B1768" s="1"/>
      <c r="C1768" s="17"/>
      <c r="D1768" s="17" t="s">
        <v>301</v>
      </c>
      <c r="E1768" s="17"/>
      <c r="F1768" s="32"/>
      <c r="G1768" s="6"/>
      <c r="H1768" s="6"/>
      <c r="I1768" s="6"/>
      <c r="J1768" s="6"/>
      <c r="K1768" s="6"/>
      <c r="L1768" s="6"/>
      <c r="M1768" s="6"/>
      <c r="N1768" s="6"/>
      <c r="O1768" s="31"/>
      <c r="P1768" s="32"/>
      <c r="Q1768" s="6"/>
      <c r="R1768" s="59"/>
      <c r="S1768" s="1"/>
      <c r="T1768" s="1"/>
      <c r="U1768" s="1"/>
    </row>
    <row r="1769" spans="1:21" ht="9.75" customHeight="1" x14ac:dyDescent="0.4">
      <c r="A1769" s="1"/>
      <c r="B1769" s="1"/>
      <c r="C1769" s="17"/>
      <c r="D1769" s="17" t="s">
        <v>303</v>
      </c>
      <c r="E1769" s="17">
        <v>250</v>
      </c>
      <c r="F1769" s="32">
        <v>75</v>
      </c>
      <c r="G1769" s="6">
        <v>2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7</v>
      </c>
      <c r="N1769" s="6">
        <v>26</v>
      </c>
      <c r="O1769" s="31">
        <v>41</v>
      </c>
      <c r="P1769" s="32">
        <f>MIN(F1769:O1769)</f>
        <v>0</v>
      </c>
      <c r="Q1769" s="6">
        <f>E1769-P1769</f>
        <v>250</v>
      </c>
      <c r="R1769" s="59">
        <f>Q1769/E1769</f>
        <v>1</v>
      </c>
      <c r="S1769" s="1"/>
      <c r="T1769" s="1"/>
      <c r="U1769" s="1"/>
    </row>
    <row r="1770" spans="1:21" ht="9.75" customHeight="1" x14ac:dyDescent="0.4">
      <c r="A1770" s="1"/>
      <c r="B1770" s="1"/>
      <c r="C1770" s="17"/>
      <c r="D1770" s="17" t="s">
        <v>369</v>
      </c>
      <c r="E1770" s="17"/>
      <c r="F1770" s="32"/>
      <c r="G1770" s="6"/>
      <c r="H1770" s="6"/>
      <c r="I1770" s="6"/>
      <c r="J1770" s="6"/>
      <c r="K1770" s="6"/>
      <c r="L1770" s="6"/>
      <c r="M1770" s="6"/>
      <c r="N1770" s="6"/>
      <c r="O1770" s="31"/>
      <c r="P1770" s="32"/>
      <c r="Q1770" s="6"/>
      <c r="R1770" s="59"/>
      <c r="S1770" s="1"/>
      <c r="T1770" s="1"/>
      <c r="U1770" s="1"/>
    </row>
    <row r="1771" spans="1:21" ht="9.75" customHeight="1" x14ac:dyDescent="0.4">
      <c r="A1771" s="1"/>
      <c r="B1771" s="1"/>
      <c r="C1771" s="17"/>
      <c r="D1771" s="17" t="s">
        <v>369</v>
      </c>
      <c r="E1771" s="17"/>
      <c r="F1771" s="32"/>
      <c r="G1771" s="6"/>
      <c r="H1771" s="6"/>
      <c r="I1771" s="6"/>
      <c r="J1771" s="6"/>
      <c r="K1771" s="6"/>
      <c r="L1771" s="6"/>
      <c r="M1771" s="6"/>
      <c r="N1771" s="6"/>
      <c r="O1771" s="31"/>
      <c r="P1771" s="32"/>
      <c r="Q1771" s="6"/>
      <c r="R1771" s="59"/>
      <c r="S1771" s="1"/>
      <c r="T1771" s="1"/>
      <c r="U1771" s="1"/>
    </row>
    <row r="1772" spans="1:21" ht="9.75" customHeight="1" x14ac:dyDescent="0.4">
      <c r="A1772" s="1"/>
      <c r="B1772" s="1"/>
      <c r="C1772" s="17"/>
      <c r="D1772" s="17" t="s">
        <v>308</v>
      </c>
      <c r="E1772" s="17"/>
      <c r="F1772" s="32"/>
      <c r="G1772" s="6"/>
      <c r="H1772" s="6"/>
      <c r="I1772" s="6"/>
      <c r="J1772" s="6"/>
      <c r="K1772" s="6"/>
      <c r="L1772" s="6"/>
      <c r="M1772" s="6"/>
      <c r="N1772" s="6"/>
      <c r="O1772" s="31"/>
      <c r="P1772" s="32"/>
      <c r="Q1772" s="6"/>
      <c r="R1772" s="59"/>
      <c r="S1772" s="1"/>
      <c r="T1772" s="1"/>
      <c r="U1772" s="1"/>
    </row>
    <row r="1773" spans="1:21" ht="9.75" customHeight="1" x14ac:dyDescent="0.4">
      <c r="A1773" s="1"/>
      <c r="B1773" s="1"/>
      <c r="C1773" s="17"/>
      <c r="D1773" s="17" t="s">
        <v>372</v>
      </c>
      <c r="E1773" s="17">
        <v>8</v>
      </c>
      <c r="F1773" s="32">
        <v>7</v>
      </c>
      <c r="G1773" s="6">
        <v>6</v>
      </c>
      <c r="H1773" s="6">
        <v>0</v>
      </c>
      <c r="I1773" s="6">
        <v>0</v>
      </c>
      <c r="J1773" s="6">
        <v>0</v>
      </c>
      <c r="K1773" s="6">
        <v>1</v>
      </c>
      <c r="L1773" s="6">
        <v>2</v>
      </c>
      <c r="M1773" s="6">
        <v>1</v>
      </c>
      <c r="N1773" s="6">
        <v>1</v>
      </c>
      <c r="O1773" s="31">
        <v>5</v>
      </c>
      <c r="P1773" s="32">
        <f>MIN(F1773:O1773)</f>
        <v>0</v>
      </c>
      <c r="Q1773" s="6">
        <f>E1773-P1773</f>
        <v>8</v>
      </c>
      <c r="R1773" s="59">
        <f>Q1773/E1773</f>
        <v>1</v>
      </c>
      <c r="S1773" s="1"/>
      <c r="T1773" s="1"/>
      <c r="U1773" s="1"/>
    </row>
    <row r="1774" spans="1:21" ht="9.75" customHeight="1" x14ac:dyDescent="0.4">
      <c r="A1774" s="1"/>
      <c r="B1774" s="1"/>
      <c r="C1774" s="17"/>
      <c r="D1774" s="17" t="s">
        <v>374</v>
      </c>
      <c r="E1774" s="17"/>
      <c r="F1774" s="32"/>
      <c r="G1774" s="6"/>
      <c r="H1774" s="6"/>
      <c r="I1774" s="6"/>
      <c r="J1774" s="6"/>
      <c r="K1774" s="6"/>
      <c r="L1774" s="6"/>
      <c r="M1774" s="6"/>
      <c r="N1774" s="6"/>
      <c r="O1774" s="31"/>
      <c r="P1774" s="32"/>
      <c r="Q1774" s="6"/>
      <c r="R1774" s="59"/>
      <c r="S1774" s="1"/>
      <c r="T1774" s="1"/>
      <c r="U1774" s="1"/>
    </row>
    <row r="1775" spans="1:21" ht="9.75" customHeight="1" x14ac:dyDescent="0.4">
      <c r="A1775" s="1"/>
      <c r="B1775" s="1"/>
      <c r="C1775" s="17"/>
      <c r="D1775" s="17" t="s">
        <v>374</v>
      </c>
      <c r="E1775" s="17"/>
      <c r="F1775" s="32"/>
      <c r="G1775" s="6"/>
      <c r="H1775" s="6"/>
      <c r="I1775" s="6"/>
      <c r="J1775" s="6"/>
      <c r="K1775" s="6"/>
      <c r="L1775" s="6"/>
      <c r="M1775" s="6"/>
      <c r="N1775" s="6"/>
      <c r="O1775" s="31"/>
      <c r="P1775" s="32"/>
      <c r="Q1775" s="6"/>
      <c r="R1775" s="59"/>
      <c r="S1775" s="1"/>
      <c r="T1775" s="1"/>
      <c r="U1775" s="1"/>
    </row>
    <row r="1776" spans="1:21" ht="9.75" customHeight="1" x14ac:dyDescent="0.4">
      <c r="A1776" s="1"/>
      <c r="B1776" s="1"/>
      <c r="C1776" s="17"/>
      <c r="D1776" s="17" t="s">
        <v>374</v>
      </c>
      <c r="E1776" s="17"/>
      <c r="F1776" s="32"/>
      <c r="G1776" s="6"/>
      <c r="H1776" s="6"/>
      <c r="I1776" s="6"/>
      <c r="J1776" s="6"/>
      <c r="K1776" s="6"/>
      <c r="L1776" s="6"/>
      <c r="M1776" s="6"/>
      <c r="N1776" s="6"/>
      <c r="O1776" s="31"/>
      <c r="P1776" s="32"/>
      <c r="Q1776" s="6"/>
      <c r="R1776" s="59"/>
      <c r="S1776" s="1"/>
      <c r="T1776" s="1"/>
      <c r="U1776" s="1"/>
    </row>
    <row r="1777" spans="1:21" ht="9.75" customHeight="1" x14ac:dyDescent="0.4">
      <c r="A1777" s="1"/>
      <c r="B1777" s="1"/>
      <c r="C1777" s="17"/>
      <c r="D1777" s="17" t="s">
        <v>374</v>
      </c>
      <c r="E1777" s="17"/>
      <c r="F1777" s="32"/>
      <c r="G1777" s="6"/>
      <c r="H1777" s="6"/>
      <c r="I1777" s="6"/>
      <c r="J1777" s="6"/>
      <c r="K1777" s="6"/>
      <c r="L1777" s="6"/>
      <c r="M1777" s="6"/>
      <c r="N1777" s="6"/>
      <c r="O1777" s="31"/>
      <c r="P1777" s="32"/>
      <c r="Q1777" s="6"/>
      <c r="R1777" s="59"/>
      <c r="S1777" s="1"/>
      <c r="T1777" s="1"/>
      <c r="U1777" s="1"/>
    </row>
    <row r="1778" spans="1:21" ht="9.75" customHeight="1" x14ac:dyDescent="0.4">
      <c r="A1778" s="1"/>
      <c r="B1778" s="1"/>
      <c r="C1778" s="17"/>
      <c r="D1778" s="17" t="s">
        <v>374</v>
      </c>
      <c r="E1778" s="17"/>
      <c r="F1778" s="32"/>
      <c r="G1778" s="6"/>
      <c r="H1778" s="6"/>
      <c r="I1778" s="6"/>
      <c r="J1778" s="6"/>
      <c r="K1778" s="6"/>
      <c r="L1778" s="6"/>
      <c r="M1778" s="6"/>
      <c r="N1778" s="6"/>
      <c r="O1778" s="31"/>
      <c r="P1778" s="32"/>
      <c r="Q1778" s="6"/>
      <c r="R1778" s="59"/>
      <c r="S1778" s="1"/>
      <c r="T1778" s="1"/>
      <c r="U1778" s="1"/>
    </row>
    <row r="1779" spans="1:21" ht="9.75" customHeight="1" x14ac:dyDescent="0.4">
      <c r="A1779" s="1"/>
      <c r="B1779" s="1"/>
      <c r="C1779" s="17"/>
      <c r="D1779" s="17" t="s">
        <v>310</v>
      </c>
      <c r="E1779" s="17">
        <v>1</v>
      </c>
      <c r="F1779" s="32">
        <v>1</v>
      </c>
      <c r="G1779" s="6">
        <v>1</v>
      </c>
      <c r="H1779" s="6">
        <v>1</v>
      </c>
      <c r="I1779" s="6">
        <v>1</v>
      </c>
      <c r="J1779" s="6">
        <v>1</v>
      </c>
      <c r="K1779" s="6">
        <v>1</v>
      </c>
      <c r="L1779" s="6">
        <v>1</v>
      </c>
      <c r="M1779" s="6">
        <v>1</v>
      </c>
      <c r="N1779" s="6">
        <v>1</v>
      </c>
      <c r="O1779" s="31">
        <v>1</v>
      </c>
      <c r="P1779" s="32">
        <f t="shared" ref="P1779:P1781" si="294">MIN(F1779:O1779)</f>
        <v>1</v>
      </c>
      <c r="Q1779" s="6">
        <f t="shared" ref="Q1779:Q1781" si="295">E1779-P1779</f>
        <v>0</v>
      </c>
      <c r="R1779" s="59">
        <f t="shared" ref="R1779:R1781" si="296">Q1779/E1779</f>
        <v>0</v>
      </c>
      <c r="S1779" s="1"/>
      <c r="T1779" s="1"/>
      <c r="U1779" s="1"/>
    </row>
    <row r="1780" spans="1:21" ht="9.75" customHeight="1" x14ac:dyDescent="0.4">
      <c r="A1780" s="1"/>
      <c r="B1780" s="1"/>
      <c r="C1780" s="17"/>
      <c r="D1780" s="17" t="s">
        <v>456</v>
      </c>
      <c r="E1780" s="17">
        <v>6</v>
      </c>
      <c r="F1780" s="32">
        <v>4</v>
      </c>
      <c r="G1780" s="6">
        <v>5</v>
      </c>
      <c r="H1780" s="6">
        <v>5</v>
      </c>
      <c r="I1780" s="6">
        <v>5</v>
      </c>
      <c r="J1780" s="6">
        <v>4</v>
      </c>
      <c r="K1780" s="6">
        <v>5</v>
      </c>
      <c r="L1780" s="6">
        <v>6</v>
      </c>
      <c r="M1780" s="6">
        <v>3</v>
      </c>
      <c r="N1780" s="6">
        <v>3</v>
      </c>
      <c r="O1780" s="31">
        <v>3</v>
      </c>
      <c r="P1780" s="32">
        <f t="shared" si="294"/>
        <v>3</v>
      </c>
      <c r="Q1780" s="6">
        <f t="shared" si="295"/>
        <v>3</v>
      </c>
      <c r="R1780" s="59">
        <f t="shared" si="296"/>
        <v>0.5</v>
      </c>
      <c r="S1780" s="1"/>
      <c r="T1780" s="1"/>
      <c r="U1780" s="1"/>
    </row>
    <row r="1781" spans="1:21" ht="9.75" customHeight="1" x14ac:dyDescent="0.4">
      <c r="A1781" s="1"/>
      <c r="B1781" s="1"/>
      <c r="C1781" s="17"/>
      <c r="D1781" s="17" t="s">
        <v>312</v>
      </c>
      <c r="E1781" s="17">
        <v>2</v>
      </c>
      <c r="F1781" s="32">
        <v>1</v>
      </c>
      <c r="G1781" s="6">
        <v>2</v>
      </c>
      <c r="H1781" s="6">
        <v>2</v>
      </c>
      <c r="I1781" s="6">
        <v>2</v>
      </c>
      <c r="J1781" s="6">
        <v>1</v>
      </c>
      <c r="K1781" s="6">
        <v>1</v>
      </c>
      <c r="L1781" s="6">
        <v>1</v>
      </c>
      <c r="M1781" s="6">
        <v>0</v>
      </c>
      <c r="N1781" s="6">
        <v>0</v>
      </c>
      <c r="O1781" s="31">
        <v>0</v>
      </c>
      <c r="P1781" s="32">
        <f t="shared" si="294"/>
        <v>0</v>
      </c>
      <c r="Q1781" s="6">
        <f t="shared" si="295"/>
        <v>2</v>
      </c>
      <c r="R1781" s="59">
        <f t="shared" si="296"/>
        <v>1</v>
      </c>
      <c r="S1781" s="1"/>
      <c r="T1781" s="1"/>
      <c r="U1781" s="1"/>
    </row>
    <row r="1782" spans="1:21" ht="9.75" customHeight="1" x14ac:dyDescent="0.4">
      <c r="A1782" s="1"/>
      <c r="B1782" s="1"/>
      <c r="C1782" s="17"/>
      <c r="D1782" s="17" t="s">
        <v>313</v>
      </c>
      <c r="E1782" s="17"/>
      <c r="F1782" s="32"/>
      <c r="G1782" s="6"/>
      <c r="H1782" s="6"/>
      <c r="I1782" s="6"/>
      <c r="J1782" s="6"/>
      <c r="K1782" s="6"/>
      <c r="L1782" s="6"/>
      <c r="M1782" s="6"/>
      <c r="N1782" s="6"/>
      <c r="O1782" s="31"/>
      <c r="P1782" s="32"/>
      <c r="Q1782" s="6"/>
      <c r="R1782" s="59"/>
      <c r="S1782" s="1"/>
      <c r="T1782" s="1"/>
      <c r="U1782" s="1"/>
    </row>
    <row r="1783" spans="1:21" ht="9.75" customHeight="1" x14ac:dyDescent="0.4">
      <c r="A1783" s="1"/>
      <c r="B1783" s="1" t="s">
        <v>395</v>
      </c>
      <c r="C1783" s="34"/>
      <c r="D1783" s="65" t="s">
        <v>314</v>
      </c>
      <c r="E1783" s="155">
        <f t="shared" ref="E1783:O1783" si="297">SUM(E1767:E1782)</f>
        <v>267</v>
      </c>
      <c r="F1783" s="101">
        <f t="shared" si="297"/>
        <v>88</v>
      </c>
      <c r="G1783" s="102">
        <f t="shared" si="297"/>
        <v>16</v>
      </c>
      <c r="H1783" s="102">
        <f t="shared" si="297"/>
        <v>8</v>
      </c>
      <c r="I1783" s="102">
        <f t="shared" si="297"/>
        <v>8</v>
      </c>
      <c r="J1783" s="102">
        <f t="shared" si="297"/>
        <v>6</v>
      </c>
      <c r="K1783" s="102">
        <f t="shared" si="297"/>
        <v>8</v>
      </c>
      <c r="L1783" s="102">
        <f t="shared" si="297"/>
        <v>10</v>
      </c>
      <c r="M1783" s="102">
        <f t="shared" si="297"/>
        <v>12</v>
      </c>
      <c r="N1783" s="102">
        <f t="shared" si="297"/>
        <v>31</v>
      </c>
      <c r="O1783" s="103">
        <f t="shared" si="297"/>
        <v>50</v>
      </c>
      <c r="P1783" s="101">
        <f>MIN(F1783:O1783)</f>
        <v>6</v>
      </c>
      <c r="Q1783" s="102">
        <f>E1783-P1783</f>
        <v>261</v>
      </c>
      <c r="R1783" s="375">
        <f>Q1783/E1783</f>
        <v>0.97752808988764039</v>
      </c>
      <c r="S1783" s="1"/>
      <c r="T1783" s="1"/>
      <c r="U1783" s="1"/>
    </row>
    <row r="1784" spans="1:21" ht="9.75" customHeight="1" x14ac:dyDescent="0.4">
      <c r="A1784" s="1"/>
      <c r="B1784" s="1"/>
      <c r="C1784" s="15" t="s">
        <v>206</v>
      </c>
      <c r="D1784" s="15" t="s">
        <v>300</v>
      </c>
      <c r="E1784" s="15"/>
      <c r="F1784" s="73"/>
      <c r="G1784" s="108"/>
      <c r="H1784" s="108"/>
      <c r="I1784" s="108"/>
      <c r="J1784" s="108"/>
      <c r="K1784" s="108"/>
      <c r="L1784" s="108"/>
      <c r="M1784" s="108"/>
      <c r="N1784" s="108"/>
      <c r="O1784" s="109"/>
      <c r="P1784" s="73"/>
      <c r="Q1784" s="108"/>
      <c r="R1784" s="188"/>
      <c r="S1784" s="1"/>
      <c r="T1784" s="1"/>
      <c r="U1784" s="1"/>
    </row>
    <row r="1785" spans="1:21" ht="9.75" customHeight="1" x14ac:dyDescent="0.4">
      <c r="A1785" s="1"/>
      <c r="B1785" s="1"/>
      <c r="C1785" s="17"/>
      <c r="D1785" s="17" t="s">
        <v>301</v>
      </c>
      <c r="E1785" s="17"/>
      <c r="F1785" s="32"/>
      <c r="G1785" s="6"/>
      <c r="H1785" s="6"/>
      <c r="I1785" s="6"/>
      <c r="J1785" s="6"/>
      <c r="K1785" s="6"/>
      <c r="L1785" s="6"/>
      <c r="M1785" s="6"/>
      <c r="N1785" s="6"/>
      <c r="O1785" s="31"/>
      <c r="P1785" s="32"/>
      <c r="Q1785" s="6"/>
      <c r="R1785" s="59"/>
      <c r="S1785" s="1"/>
      <c r="T1785" s="1"/>
      <c r="U1785" s="1"/>
    </row>
    <row r="1786" spans="1:21" ht="9.75" customHeight="1" x14ac:dyDescent="0.4">
      <c r="A1786" s="1"/>
      <c r="B1786" s="1"/>
      <c r="C1786" s="17"/>
      <c r="D1786" s="17" t="s">
        <v>303</v>
      </c>
      <c r="E1786" s="17">
        <v>178</v>
      </c>
      <c r="F1786" s="32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0</v>
      </c>
      <c r="M1786" s="6">
        <v>6</v>
      </c>
      <c r="N1786" s="6">
        <v>6</v>
      </c>
      <c r="O1786" s="31">
        <v>11</v>
      </c>
      <c r="P1786" s="32">
        <f>MIN(F1786:O1786)</f>
        <v>0</v>
      </c>
      <c r="Q1786" s="6">
        <f>E1786-P1786</f>
        <v>178</v>
      </c>
      <c r="R1786" s="59">
        <f>Q1786/E1786</f>
        <v>1</v>
      </c>
      <c r="S1786" s="1"/>
      <c r="T1786" s="1"/>
      <c r="U1786" s="1"/>
    </row>
    <row r="1787" spans="1:21" ht="9.75" customHeight="1" x14ac:dyDescent="0.4">
      <c r="A1787" s="1"/>
      <c r="B1787" s="1"/>
      <c r="C1787" s="17"/>
      <c r="D1787" s="17" t="s">
        <v>369</v>
      </c>
      <c r="E1787" s="17"/>
      <c r="F1787" s="32"/>
      <c r="G1787" s="6"/>
      <c r="H1787" s="6"/>
      <c r="I1787" s="6"/>
      <c r="J1787" s="6"/>
      <c r="K1787" s="6"/>
      <c r="L1787" s="6"/>
      <c r="M1787" s="6"/>
      <c r="N1787" s="6"/>
      <c r="O1787" s="31"/>
      <c r="P1787" s="32"/>
      <c r="Q1787" s="6"/>
      <c r="R1787" s="59"/>
      <c r="S1787" s="1"/>
      <c r="T1787" s="1"/>
      <c r="U1787" s="1"/>
    </row>
    <row r="1788" spans="1:21" ht="9.75" customHeight="1" x14ac:dyDescent="0.4">
      <c r="A1788" s="1"/>
      <c r="B1788" s="1"/>
      <c r="C1788" s="17"/>
      <c r="D1788" s="17" t="s">
        <v>369</v>
      </c>
      <c r="E1788" s="17"/>
      <c r="F1788" s="32"/>
      <c r="G1788" s="6"/>
      <c r="H1788" s="6"/>
      <c r="I1788" s="6"/>
      <c r="J1788" s="6"/>
      <c r="K1788" s="6"/>
      <c r="L1788" s="6"/>
      <c r="M1788" s="6"/>
      <c r="N1788" s="6"/>
      <c r="O1788" s="31"/>
      <c r="P1788" s="32"/>
      <c r="Q1788" s="6"/>
      <c r="R1788" s="59"/>
      <c r="S1788" s="1"/>
      <c r="T1788" s="1"/>
      <c r="U1788" s="1"/>
    </row>
    <row r="1789" spans="1:21" ht="9.75" customHeight="1" x14ac:dyDescent="0.4">
      <c r="A1789" s="1"/>
      <c r="B1789" s="1"/>
      <c r="C1789" s="17"/>
      <c r="D1789" s="17" t="s">
        <v>308</v>
      </c>
      <c r="E1789" s="17"/>
      <c r="F1789" s="32"/>
      <c r="G1789" s="6"/>
      <c r="H1789" s="6"/>
      <c r="I1789" s="6"/>
      <c r="J1789" s="6"/>
      <c r="K1789" s="6"/>
      <c r="L1789" s="6"/>
      <c r="M1789" s="6"/>
      <c r="N1789" s="6"/>
      <c r="O1789" s="31"/>
      <c r="P1789" s="32"/>
      <c r="Q1789" s="6"/>
      <c r="R1789" s="59"/>
      <c r="S1789" s="1"/>
      <c r="T1789" s="1"/>
      <c r="U1789" s="1"/>
    </row>
    <row r="1790" spans="1:21" ht="9.75" customHeight="1" x14ac:dyDescent="0.4">
      <c r="A1790" s="1"/>
      <c r="B1790" s="1"/>
      <c r="C1790" s="17"/>
      <c r="D1790" s="17" t="s">
        <v>399</v>
      </c>
      <c r="E1790" s="17">
        <v>63</v>
      </c>
      <c r="F1790" s="32">
        <v>21</v>
      </c>
      <c r="G1790" s="6">
        <v>1</v>
      </c>
      <c r="H1790" s="6">
        <v>0</v>
      </c>
      <c r="I1790" s="6">
        <v>0</v>
      </c>
      <c r="J1790" s="6">
        <v>0</v>
      </c>
      <c r="K1790" s="6">
        <v>0</v>
      </c>
      <c r="L1790" s="6">
        <v>1</v>
      </c>
      <c r="M1790" s="6">
        <v>5</v>
      </c>
      <c r="N1790" s="6">
        <v>10</v>
      </c>
      <c r="O1790" s="31">
        <v>17</v>
      </c>
      <c r="P1790" s="32">
        <f t="shared" ref="P1790:P1791" si="298">MIN(F1790:O1790)</f>
        <v>0</v>
      </c>
      <c r="Q1790" s="6">
        <f t="shared" ref="Q1790:Q1791" si="299">E1790-P1790</f>
        <v>63</v>
      </c>
      <c r="R1790" s="59">
        <f t="shared" ref="R1790:R1791" si="300">Q1790/E1790</f>
        <v>1</v>
      </c>
      <c r="S1790" s="1"/>
      <c r="T1790" s="1"/>
      <c r="U1790" s="1"/>
    </row>
    <row r="1791" spans="1:21" ht="9.75" customHeight="1" x14ac:dyDescent="0.4">
      <c r="A1791" s="1"/>
      <c r="B1791" s="1"/>
      <c r="C1791" s="17"/>
      <c r="D1791" s="17" t="s">
        <v>372</v>
      </c>
      <c r="E1791" s="17">
        <v>8</v>
      </c>
      <c r="F1791" s="32">
        <v>7</v>
      </c>
      <c r="G1791" s="6">
        <v>2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2</v>
      </c>
      <c r="N1791" s="6">
        <v>5</v>
      </c>
      <c r="O1791" s="31">
        <v>5</v>
      </c>
      <c r="P1791" s="32">
        <f t="shared" si="298"/>
        <v>0</v>
      </c>
      <c r="Q1791" s="6">
        <f t="shared" si="299"/>
        <v>8</v>
      </c>
      <c r="R1791" s="59">
        <f t="shared" si="300"/>
        <v>1</v>
      </c>
      <c r="S1791" s="1"/>
      <c r="T1791" s="1"/>
      <c r="U1791" s="1"/>
    </row>
    <row r="1792" spans="1:21" ht="9.75" customHeight="1" x14ac:dyDescent="0.4">
      <c r="A1792" s="1"/>
      <c r="B1792" s="1"/>
      <c r="C1792" s="17"/>
      <c r="D1792" s="17" t="s">
        <v>374</v>
      </c>
      <c r="E1792" s="17"/>
      <c r="F1792" s="32"/>
      <c r="G1792" s="6"/>
      <c r="H1792" s="6"/>
      <c r="I1792" s="6"/>
      <c r="J1792" s="6"/>
      <c r="K1792" s="6"/>
      <c r="L1792" s="6"/>
      <c r="M1792" s="6"/>
      <c r="N1792" s="6"/>
      <c r="O1792" s="31"/>
      <c r="P1792" s="32"/>
      <c r="Q1792" s="6"/>
      <c r="R1792" s="59"/>
      <c r="S1792" s="1"/>
      <c r="T1792" s="1"/>
      <c r="U1792" s="1"/>
    </row>
    <row r="1793" spans="1:21" ht="9.75" customHeight="1" x14ac:dyDescent="0.4">
      <c r="A1793" s="1"/>
      <c r="B1793" s="1"/>
      <c r="C1793" s="17"/>
      <c r="D1793" s="17" t="s">
        <v>374</v>
      </c>
      <c r="E1793" s="17"/>
      <c r="F1793" s="32"/>
      <c r="G1793" s="6"/>
      <c r="H1793" s="6"/>
      <c r="I1793" s="6"/>
      <c r="J1793" s="6"/>
      <c r="K1793" s="6"/>
      <c r="L1793" s="6"/>
      <c r="M1793" s="6"/>
      <c r="N1793" s="6"/>
      <c r="O1793" s="31"/>
      <c r="P1793" s="32"/>
      <c r="Q1793" s="6"/>
      <c r="R1793" s="59"/>
      <c r="S1793" s="1"/>
      <c r="T1793" s="1"/>
      <c r="U1793" s="1"/>
    </row>
    <row r="1794" spans="1:21" ht="9.75" customHeight="1" x14ac:dyDescent="0.4">
      <c r="A1794" s="1"/>
      <c r="B1794" s="1"/>
      <c r="C1794" s="17"/>
      <c r="D1794" s="17" t="s">
        <v>374</v>
      </c>
      <c r="E1794" s="17"/>
      <c r="F1794" s="32"/>
      <c r="G1794" s="6"/>
      <c r="H1794" s="6"/>
      <c r="I1794" s="6"/>
      <c r="J1794" s="6"/>
      <c r="K1794" s="6"/>
      <c r="L1794" s="6"/>
      <c r="M1794" s="6"/>
      <c r="N1794" s="6"/>
      <c r="O1794" s="31"/>
      <c r="P1794" s="32"/>
      <c r="Q1794" s="6"/>
      <c r="R1794" s="59"/>
      <c r="S1794" s="1"/>
      <c r="T1794" s="1"/>
      <c r="U1794" s="1"/>
    </row>
    <row r="1795" spans="1:21" ht="9.75" customHeight="1" x14ac:dyDescent="0.4">
      <c r="A1795" s="1"/>
      <c r="B1795" s="1"/>
      <c r="C1795" s="17"/>
      <c r="D1795" s="17" t="s">
        <v>374</v>
      </c>
      <c r="E1795" s="17"/>
      <c r="F1795" s="32"/>
      <c r="G1795" s="6"/>
      <c r="H1795" s="6"/>
      <c r="I1795" s="6"/>
      <c r="J1795" s="6"/>
      <c r="K1795" s="6"/>
      <c r="L1795" s="6"/>
      <c r="M1795" s="6"/>
      <c r="N1795" s="6"/>
      <c r="O1795" s="31"/>
      <c r="P1795" s="32"/>
      <c r="Q1795" s="6"/>
      <c r="R1795" s="59"/>
      <c r="S1795" s="1"/>
      <c r="T1795" s="1"/>
      <c r="U1795" s="1"/>
    </row>
    <row r="1796" spans="1:21" ht="9.75" customHeight="1" x14ac:dyDescent="0.4">
      <c r="A1796" s="1"/>
      <c r="B1796" s="1"/>
      <c r="C1796" s="17"/>
      <c r="D1796" s="17" t="s">
        <v>310</v>
      </c>
      <c r="E1796" s="17">
        <v>6</v>
      </c>
      <c r="F1796" s="32">
        <v>5</v>
      </c>
      <c r="G1796" s="6">
        <v>5</v>
      </c>
      <c r="H1796" s="6">
        <v>4</v>
      </c>
      <c r="I1796" s="6">
        <v>2</v>
      </c>
      <c r="J1796" s="6">
        <v>1</v>
      </c>
      <c r="K1796" s="6">
        <v>1</v>
      </c>
      <c r="L1796" s="6">
        <v>2</v>
      </c>
      <c r="M1796" s="6">
        <v>3</v>
      </c>
      <c r="N1796" s="6">
        <v>3</v>
      </c>
      <c r="O1796" s="31">
        <v>5</v>
      </c>
      <c r="P1796" s="32">
        <f t="shared" ref="P1796:P1797" si="301">MIN(F1796:O1796)</f>
        <v>1</v>
      </c>
      <c r="Q1796" s="6">
        <f t="shared" ref="Q1796:Q1797" si="302">E1796-P1796</f>
        <v>5</v>
      </c>
      <c r="R1796" s="59">
        <f t="shared" ref="R1796:R1797" si="303">Q1796/E1796</f>
        <v>0.83333333333333337</v>
      </c>
      <c r="S1796" s="1"/>
      <c r="T1796" s="1"/>
      <c r="U1796" s="1"/>
    </row>
    <row r="1797" spans="1:21" ht="9.75" customHeight="1" x14ac:dyDescent="0.4">
      <c r="A1797" s="1"/>
      <c r="B1797" s="1"/>
      <c r="C1797" s="17"/>
      <c r="D1797" s="17" t="s">
        <v>456</v>
      </c>
      <c r="E1797" s="17">
        <v>2</v>
      </c>
      <c r="F1797" s="32">
        <v>1</v>
      </c>
      <c r="G1797" s="6">
        <v>1</v>
      </c>
      <c r="H1797" s="6">
        <v>0</v>
      </c>
      <c r="I1797" s="6">
        <v>0</v>
      </c>
      <c r="J1797" s="6">
        <v>0</v>
      </c>
      <c r="K1797" s="6">
        <v>0</v>
      </c>
      <c r="L1797" s="6">
        <v>0</v>
      </c>
      <c r="M1797" s="6">
        <v>1</v>
      </c>
      <c r="N1797" s="6">
        <v>0</v>
      </c>
      <c r="O1797" s="31">
        <v>1</v>
      </c>
      <c r="P1797" s="32">
        <f t="shared" si="301"/>
        <v>0</v>
      </c>
      <c r="Q1797" s="6">
        <f t="shared" si="302"/>
        <v>2</v>
      </c>
      <c r="R1797" s="59">
        <f t="shared" si="303"/>
        <v>1</v>
      </c>
      <c r="S1797" s="1"/>
      <c r="T1797" s="1"/>
      <c r="U1797" s="1"/>
    </row>
    <row r="1798" spans="1:21" ht="9.75" customHeight="1" x14ac:dyDescent="0.4">
      <c r="A1798" s="1"/>
      <c r="B1798" s="1"/>
      <c r="C1798" s="17"/>
      <c r="D1798" s="17" t="s">
        <v>312</v>
      </c>
      <c r="E1798" s="17"/>
      <c r="F1798" s="32"/>
      <c r="G1798" s="6"/>
      <c r="H1798" s="6"/>
      <c r="I1798" s="6"/>
      <c r="J1798" s="6"/>
      <c r="K1798" s="6"/>
      <c r="L1798" s="6"/>
      <c r="M1798" s="6"/>
      <c r="N1798" s="6"/>
      <c r="O1798" s="31"/>
      <c r="P1798" s="32"/>
      <c r="Q1798" s="6"/>
      <c r="R1798" s="59"/>
      <c r="S1798" s="1"/>
      <c r="T1798" s="1"/>
      <c r="U1798" s="1"/>
    </row>
    <row r="1799" spans="1:21" ht="9.75" customHeight="1" x14ac:dyDescent="0.4">
      <c r="A1799" s="1"/>
      <c r="B1799" s="1"/>
      <c r="C1799" s="17"/>
      <c r="D1799" s="17" t="s">
        <v>313</v>
      </c>
      <c r="E1799" s="17"/>
      <c r="F1799" s="32"/>
      <c r="G1799" s="6"/>
      <c r="H1799" s="6"/>
      <c r="I1799" s="6"/>
      <c r="J1799" s="6"/>
      <c r="K1799" s="6"/>
      <c r="L1799" s="6"/>
      <c r="M1799" s="6"/>
      <c r="N1799" s="6"/>
      <c r="O1799" s="31"/>
      <c r="P1799" s="32"/>
      <c r="Q1799" s="6"/>
      <c r="R1799" s="59"/>
      <c r="S1799" s="1"/>
      <c r="T1799" s="1"/>
      <c r="U1799" s="1"/>
    </row>
    <row r="1800" spans="1:21" ht="9.75" customHeight="1" x14ac:dyDescent="0.4">
      <c r="A1800" s="1"/>
      <c r="B1800" s="1" t="s">
        <v>395</v>
      </c>
      <c r="C1800" s="34"/>
      <c r="D1800" s="65" t="s">
        <v>314</v>
      </c>
      <c r="E1800" s="155">
        <f t="shared" ref="E1800:O1800" si="304">SUM(E1784:E1799)</f>
        <v>257</v>
      </c>
      <c r="F1800" s="101">
        <f t="shared" si="304"/>
        <v>34</v>
      </c>
      <c r="G1800" s="102">
        <f t="shared" si="304"/>
        <v>9</v>
      </c>
      <c r="H1800" s="102">
        <f t="shared" si="304"/>
        <v>4</v>
      </c>
      <c r="I1800" s="102">
        <f t="shared" si="304"/>
        <v>2</v>
      </c>
      <c r="J1800" s="102">
        <f t="shared" si="304"/>
        <v>1</v>
      </c>
      <c r="K1800" s="102">
        <f t="shared" si="304"/>
        <v>1</v>
      </c>
      <c r="L1800" s="102">
        <f t="shared" si="304"/>
        <v>3</v>
      </c>
      <c r="M1800" s="102">
        <f t="shared" si="304"/>
        <v>17</v>
      </c>
      <c r="N1800" s="102">
        <f t="shared" si="304"/>
        <v>24</v>
      </c>
      <c r="O1800" s="103">
        <f t="shared" si="304"/>
        <v>39</v>
      </c>
      <c r="P1800" s="101">
        <f>MIN(F1800:O1800)</f>
        <v>1</v>
      </c>
      <c r="Q1800" s="102">
        <f>E1800-P1800</f>
        <v>256</v>
      </c>
      <c r="R1800" s="375">
        <f>Q1800/E1800</f>
        <v>0.99610894941634243</v>
      </c>
      <c r="S1800" s="1"/>
      <c r="T1800" s="1"/>
      <c r="U1800" s="1"/>
    </row>
    <row r="1801" spans="1:21" ht="9.75" customHeight="1" x14ac:dyDescent="0.4">
      <c r="A1801" s="1"/>
      <c r="B1801" s="1"/>
      <c r="C1801" s="15" t="s">
        <v>211</v>
      </c>
      <c r="D1801" s="15" t="s">
        <v>300</v>
      </c>
      <c r="E1801" s="15"/>
      <c r="F1801" s="73"/>
      <c r="G1801" s="108"/>
      <c r="H1801" s="108"/>
      <c r="I1801" s="108"/>
      <c r="J1801" s="108"/>
      <c r="K1801" s="108"/>
      <c r="L1801" s="108"/>
      <c r="M1801" s="108"/>
      <c r="N1801" s="108"/>
      <c r="O1801" s="109"/>
      <c r="P1801" s="73"/>
      <c r="Q1801" s="108"/>
      <c r="R1801" s="188"/>
      <c r="S1801" s="1"/>
      <c r="T1801" s="1"/>
      <c r="U1801" s="1"/>
    </row>
    <row r="1802" spans="1:21" ht="9.75" customHeight="1" x14ac:dyDescent="0.4">
      <c r="A1802" s="1"/>
      <c r="B1802" s="1"/>
      <c r="C1802" s="17"/>
      <c r="D1802" s="17" t="s">
        <v>301</v>
      </c>
      <c r="E1802" s="17">
        <f>124+57</f>
        <v>181</v>
      </c>
      <c r="F1802" s="32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9</v>
      </c>
      <c r="N1802" s="6">
        <v>47</v>
      </c>
      <c r="O1802" s="31">
        <v>107</v>
      </c>
      <c r="P1802" s="32">
        <f>MIN(F1802:O1802)</f>
        <v>0</v>
      </c>
      <c r="Q1802" s="6">
        <f>E1802-P1802</f>
        <v>181</v>
      </c>
      <c r="R1802" s="59">
        <f>Q1802/E1802</f>
        <v>1</v>
      </c>
      <c r="S1802" s="1"/>
      <c r="T1802" s="1"/>
      <c r="U1802" s="1"/>
    </row>
    <row r="1803" spans="1:21" ht="9.75" customHeight="1" x14ac:dyDescent="0.4">
      <c r="A1803" s="1"/>
      <c r="B1803" s="1"/>
      <c r="C1803" s="17"/>
      <c r="D1803" s="17" t="s">
        <v>303</v>
      </c>
      <c r="E1803" s="17"/>
      <c r="F1803" s="32"/>
      <c r="G1803" s="6"/>
      <c r="H1803" s="6"/>
      <c r="I1803" s="6"/>
      <c r="J1803" s="6"/>
      <c r="K1803" s="6"/>
      <c r="L1803" s="6"/>
      <c r="M1803" s="6"/>
      <c r="N1803" s="6"/>
      <c r="O1803" s="31"/>
      <c r="P1803" s="32"/>
      <c r="Q1803" s="6"/>
      <c r="R1803" s="59"/>
      <c r="S1803" s="1"/>
      <c r="T1803" s="1"/>
      <c r="U1803" s="1"/>
    </row>
    <row r="1804" spans="1:21" ht="9.75" customHeight="1" x14ac:dyDescent="0.4">
      <c r="A1804" s="1"/>
      <c r="B1804" s="1"/>
      <c r="C1804" s="17"/>
      <c r="D1804" s="17" t="s">
        <v>369</v>
      </c>
      <c r="E1804" s="17">
        <v>46</v>
      </c>
      <c r="F1804" s="32">
        <v>30</v>
      </c>
      <c r="G1804" s="6">
        <v>20</v>
      </c>
      <c r="H1804" s="6">
        <v>20</v>
      </c>
      <c r="I1804" s="6">
        <v>18</v>
      </c>
      <c r="J1804" s="6">
        <v>12</v>
      </c>
      <c r="K1804" s="6">
        <v>3</v>
      </c>
      <c r="L1804" s="6">
        <v>3</v>
      </c>
      <c r="M1804" s="6">
        <v>3</v>
      </c>
      <c r="N1804" s="6">
        <v>15</v>
      </c>
      <c r="O1804" s="31">
        <v>22</v>
      </c>
      <c r="P1804" s="32">
        <f>MIN(F1804:O1804)</f>
        <v>3</v>
      </c>
      <c r="Q1804" s="6">
        <f>E1804-P1804</f>
        <v>43</v>
      </c>
      <c r="R1804" s="59">
        <f>Q1804/E1804</f>
        <v>0.93478260869565222</v>
      </c>
      <c r="S1804" s="1"/>
      <c r="T1804" s="1"/>
      <c r="U1804" s="1"/>
    </row>
    <row r="1805" spans="1:21" ht="9.75" customHeight="1" x14ac:dyDescent="0.4">
      <c r="A1805" s="1"/>
      <c r="B1805" s="1"/>
      <c r="C1805" s="17"/>
      <c r="D1805" s="17" t="s">
        <v>369</v>
      </c>
      <c r="E1805" s="17"/>
      <c r="F1805" s="32"/>
      <c r="G1805" s="6"/>
      <c r="H1805" s="6"/>
      <c r="I1805" s="6"/>
      <c r="J1805" s="6"/>
      <c r="K1805" s="6"/>
      <c r="L1805" s="6"/>
      <c r="M1805" s="6"/>
      <c r="N1805" s="6"/>
      <c r="O1805" s="31"/>
      <c r="P1805" s="32"/>
      <c r="Q1805" s="6"/>
      <c r="R1805" s="59"/>
      <c r="S1805" s="1"/>
      <c r="T1805" s="1"/>
      <c r="U1805" s="1"/>
    </row>
    <row r="1806" spans="1:21" ht="9.75" customHeight="1" x14ac:dyDescent="0.4">
      <c r="A1806" s="1"/>
      <c r="B1806" s="1"/>
      <c r="C1806" s="17"/>
      <c r="D1806" s="17" t="s">
        <v>308</v>
      </c>
      <c r="E1806" s="17">
        <v>7</v>
      </c>
      <c r="F1806" s="32">
        <v>1</v>
      </c>
      <c r="G1806" s="6">
        <v>1</v>
      </c>
      <c r="H1806" s="6">
        <v>1</v>
      </c>
      <c r="I1806" s="6">
        <v>0</v>
      </c>
      <c r="J1806" s="6">
        <v>0</v>
      </c>
      <c r="K1806" s="6">
        <v>0</v>
      </c>
      <c r="L1806" s="6">
        <v>1</v>
      </c>
      <c r="M1806" s="6">
        <v>1</v>
      </c>
      <c r="N1806" s="6">
        <v>2</v>
      </c>
      <c r="O1806" s="31">
        <v>3</v>
      </c>
      <c r="P1806" s="32">
        <f t="shared" ref="P1806:P1808" si="305">MIN(F1806:O1806)</f>
        <v>0</v>
      </c>
      <c r="Q1806" s="6">
        <f t="shared" ref="Q1806:Q1808" si="306">E1806-P1806</f>
        <v>7</v>
      </c>
      <c r="R1806" s="59">
        <f t="shared" ref="R1806:R1808" si="307">Q1806/E1806</f>
        <v>1</v>
      </c>
      <c r="S1806" s="1"/>
      <c r="T1806" s="1"/>
      <c r="U1806" s="1"/>
    </row>
    <row r="1807" spans="1:21" ht="9.75" customHeight="1" x14ac:dyDescent="0.4">
      <c r="A1807" s="1"/>
      <c r="B1807" s="1"/>
      <c r="C1807" s="17"/>
      <c r="D1807" s="17" t="s">
        <v>429</v>
      </c>
      <c r="E1807" s="17">
        <v>3</v>
      </c>
      <c r="F1807" s="32">
        <v>3</v>
      </c>
      <c r="G1807" s="6">
        <v>2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1</v>
      </c>
      <c r="N1807" s="6">
        <v>1</v>
      </c>
      <c r="O1807" s="31">
        <v>1</v>
      </c>
      <c r="P1807" s="32">
        <f t="shared" si="305"/>
        <v>0</v>
      </c>
      <c r="Q1807" s="6">
        <f t="shared" si="306"/>
        <v>3</v>
      </c>
      <c r="R1807" s="59">
        <f t="shared" si="307"/>
        <v>1</v>
      </c>
      <c r="S1807" s="1"/>
      <c r="T1807" s="1"/>
      <c r="U1807" s="1"/>
    </row>
    <row r="1808" spans="1:21" ht="9.75" customHeight="1" x14ac:dyDescent="0.4">
      <c r="A1808" s="1"/>
      <c r="B1808" s="1"/>
      <c r="C1808" s="17"/>
      <c r="D1808" s="17" t="s">
        <v>372</v>
      </c>
      <c r="E1808" s="17">
        <v>8</v>
      </c>
      <c r="F1808" s="32">
        <v>3</v>
      </c>
      <c r="G1808" s="6">
        <v>2</v>
      </c>
      <c r="H1808" s="6">
        <v>0</v>
      </c>
      <c r="I1808" s="6">
        <v>0</v>
      </c>
      <c r="J1808" s="6">
        <v>0</v>
      </c>
      <c r="K1808" s="6">
        <v>1</v>
      </c>
      <c r="L1808" s="6">
        <v>1</v>
      </c>
      <c r="M1808" s="6">
        <v>1</v>
      </c>
      <c r="N1808" s="6">
        <v>2</v>
      </c>
      <c r="O1808" s="31">
        <v>6</v>
      </c>
      <c r="P1808" s="32">
        <f t="shared" si="305"/>
        <v>0</v>
      </c>
      <c r="Q1808" s="6">
        <f t="shared" si="306"/>
        <v>8</v>
      </c>
      <c r="R1808" s="59">
        <f t="shared" si="307"/>
        <v>1</v>
      </c>
      <c r="S1808" s="1"/>
      <c r="T1808" s="1"/>
      <c r="U1808" s="1"/>
    </row>
    <row r="1809" spans="1:21" ht="9.75" customHeight="1" x14ac:dyDescent="0.4">
      <c r="A1809" s="1"/>
      <c r="B1809" s="1"/>
      <c r="C1809" s="17"/>
      <c r="D1809" s="17" t="s">
        <v>377</v>
      </c>
      <c r="E1809" s="17"/>
      <c r="F1809" s="32"/>
      <c r="G1809" s="6"/>
      <c r="H1809" s="6"/>
      <c r="I1809" s="6"/>
      <c r="J1809" s="6"/>
      <c r="K1809" s="6"/>
      <c r="L1809" s="6"/>
      <c r="M1809" s="6"/>
      <c r="N1809" s="6"/>
      <c r="O1809" s="31"/>
      <c r="P1809" s="32"/>
      <c r="Q1809" s="6"/>
      <c r="R1809" s="59"/>
      <c r="S1809" s="1"/>
      <c r="T1809" s="1"/>
      <c r="U1809" s="1"/>
    </row>
    <row r="1810" spans="1:21" ht="9.75" customHeight="1" x14ac:dyDescent="0.4">
      <c r="A1810" s="1"/>
      <c r="B1810" s="1"/>
      <c r="C1810" s="17"/>
      <c r="D1810" s="17" t="s">
        <v>374</v>
      </c>
      <c r="E1810" s="17"/>
      <c r="F1810" s="32"/>
      <c r="G1810" s="6"/>
      <c r="H1810" s="6"/>
      <c r="I1810" s="6"/>
      <c r="J1810" s="6"/>
      <c r="K1810" s="6"/>
      <c r="L1810" s="6"/>
      <c r="M1810" s="6"/>
      <c r="N1810" s="6"/>
      <c r="O1810" s="31"/>
      <c r="P1810" s="32"/>
      <c r="Q1810" s="6"/>
      <c r="R1810" s="59"/>
      <c r="S1810" s="1"/>
      <c r="T1810" s="1"/>
      <c r="U1810" s="1"/>
    </row>
    <row r="1811" spans="1:21" ht="9.75" customHeight="1" x14ac:dyDescent="0.4">
      <c r="A1811" s="1"/>
      <c r="B1811" s="1"/>
      <c r="C1811" s="17"/>
      <c r="D1811" s="17" t="s">
        <v>374</v>
      </c>
      <c r="E1811" s="17"/>
      <c r="F1811" s="32"/>
      <c r="G1811" s="6"/>
      <c r="H1811" s="6"/>
      <c r="I1811" s="6"/>
      <c r="J1811" s="6"/>
      <c r="K1811" s="6"/>
      <c r="L1811" s="6"/>
      <c r="M1811" s="6"/>
      <c r="N1811" s="6"/>
      <c r="O1811" s="31"/>
      <c r="P1811" s="32"/>
      <c r="Q1811" s="6"/>
      <c r="R1811" s="59"/>
      <c r="S1811" s="1"/>
      <c r="T1811" s="1"/>
      <c r="U1811" s="1"/>
    </row>
    <row r="1812" spans="1:21" ht="9.75" customHeight="1" x14ac:dyDescent="0.4">
      <c r="A1812" s="1"/>
      <c r="B1812" s="1"/>
      <c r="C1812" s="17"/>
      <c r="D1812" s="17" t="s">
        <v>374</v>
      </c>
      <c r="E1812" s="17"/>
      <c r="F1812" s="32"/>
      <c r="G1812" s="6"/>
      <c r="H1812" s="6"/>
      <c r="I1812" s="6"/>
      <c r="J1812" s="6"/>
      <c r="K1812" s="6"/>
      <c r="L1812" s="6"/>
      <c r="M1812" s="6"/>
      <c r="N1812" s="6"/>
      <c r="O1812" s="31"/>
      <c r="P1812" s="32"/>
      <c r="Q1812" s="6"/>
      <c r="R1812" s="59"/>
      <c r="S1812" s="1"/>
      <c r="T1812" s="1"/>
      <c r="U1812" s="1"/>
    </row>
    <row r="1813" spans="1:21" ht="9.75" customHeight="1" x14ac:dyDescent="0.4">
      <c r="A1813" s="1"/>
      <c r="B1813" s="1"/>
      <c r="C1813" s="17"/>
      <c r="D1813" s="17" t="s">
        <v>310</v>
      </c>
      <c r="E1813" s="17">
        <v>6</v>
      </c>
      <c r="F1813" s="32">
        <v>4</v>
      </c>
      <c r="G1813" s="6">
        <v>2</v>
      </c>
      <c r="H1813" s="6">
        <v>1</v>
      </c>
      <c r="I1813" s="6">
        <v>1</v>
      </c>
      <c r="J1813" s="6">
        <v>2</v>
      </c>
      <c r="K1813" s="6">
        <v>2</v>
      </c>
      <c r="L1813" s="6">
        <v>2</v>
      </c>
      <c r="M1813" s="6">
        <v>1</v>
      </c>
      <c r="N1813" s="6">
        <v>3</v>
      </c>
      <c r="O1813" s="31">
        <v>5</v>
      </c>
      <c r="P1813" s="32">
        <f t="shared" ref="P1813:P1814" si="308">MIN(F1813:O1813)</f>
        <v>1</v>
      </c>
      <c r="Q1813" s="6">
        <f t="shared" ref="Q1813:Q1814" si="309">E1813-P1813</f>
        <v>5</v>
      </c>
      <c r="R1813" s="59">
        <f t="shared" ref="R1813:R1814" si="310">Q1813/E1813</f>
        <v>0.83333333333333337</v>
      </c>
      <c r="S1813" s="1"/>
      <c r="T1813" s="1"/>
      <c r="U1813" s="1"/>
    </row>
    <row r="1814" spans="1:21" ht="9.75" customHeight="1" x14ac:dyDescent="0.4">
      <c r="A1814" s="1"/>
      <c r="B1814" s="1"/>
      <c r="C1814" s="17"/>
      <c r="D1814" s="17" t="s">
        <v>456</v>
      </c>
      <c r="E1814" s="17">
        <v>2</v>
      </c>
      <c r="F1814" s="32">
        <v>2</v>
      </c>
      <c r="G1814" s="6">
        <v>2</v>
      </c>
      <c r="H1814" s="6">
        <v>2</v>
      </c>
      <c r="I1814" s="6">
        <v>1</v>
      </c>
      <c r="J1814" s="6">
        <v>1</v>
      </c>
      <c r="K1814" s="6">
        <v>1</v>
      </c>
      <c r="L1814" s="6">
        <v>1</v>
      </c>
      <c r="M1814" s="6">
        <v>1</v>
      </c>
      <c r="N1814" s="6">
        <v>1</v>
      </c>
      <c r="O1814" s="31">
        <v>1</v>
      </c>
      <c r="P1814" s="32">
        <f t="shared" si="308"/>
        <v>1</v>
      </c>
      <c r="Q1814" s="6">
        <f t="shared" si="309"/>
        <v>1</v>
      </c>
      <c r="R1814" s="59">
        <f t="shared" si="310"/>
        <v>0.5</v>
      </c>
      <c r="S1814" s="1"/>
      <c r="T1814" s="1"/>
      <c r="U1814" s="1"/>
    </row>
    <row r="1815" spans="1:21" ht="9.75" customHeight="1" x14ac:dyDescent="0.4">
      <c r="A1815" s="1"/>
      <c r="B1815" s="1"/>
      <c r="C1815" s="17"/>
      <c r="D1815" s="17" t="s">
        <v>312</v>
      </c>
      <c r="E1815" s="17"/>
      <c r="F1815" s="32"/>
      <c r="G1815" s="6"/>
      <c r="H1815" s="6"/>
      <c r="I1815" s="6"/>
      <c r="J1815" s="6"/>
      <c r="K1815" s="6"/>
      <c r="L1815" s="6"/>
      <c r="M1815" s="6"/>
      <c r="N1815" s="6"/>
      <c r="O1815" s="31"/>
      <c r="P1815" s="32"/>
      <c r="Q1815" s="6"/>
      <c r="R1815" s="59"/>
      <c r="S1815" s="1"/>
      <c r="T1815" s="1"/>
      <c r="U1815" s="1"/>
    </row>
    <row r="1816" spans="1:21" ht="9.75" customHeight="1" x14ac:dyDescent="0.4">
      <c r="A1816" s="1"/>
      <c r="B1816" s="1"/>
      <c r="C1816" s="17"/>
      <c r="D1816" s="17" t="s">
        <v>313</v>
      </c>
      <c r="E1816" s="17"/>
      <c r="F1816" s="32"/>
      <c r="G1816" s="6"/>
      <c r="H1816" s="6"/>
      <c r="I1816" s="6"/>
      <c r="J1816" s="6"/>
      <c r="K1816" s="6"/>
      <c r="L1816" s="6"/>
      <c r="M1816" s="6"/>
      <c r="N1816" s="6"/>
      <c r="O1816" s="31"/>
      <c r="P1816" s="32"/>
      <c r="Q1816" s="6"/>
      <c r="R1816" s="59"/>
      <c r="S1816" s="1"/>
      <c r="T1816" s="1"/>
      <c r="U1816" s="1"/>
    </row>
    <row r="1817" spans="1:21" ht="9.75" customHeight="1" x14ac:dyDescent="0.4">
      <c r="A1817" s="1"/>
      <c r="B1817" s="1" t="s">
        <v>395</v>
      </c>
      <c r="C1817" s="34"/>
      <c r="D1817" s="65" t="s">
        <v>314</v>
      </c>
      <c r="E1817" s="104">
        <f t="shared" ref="E1817:O1817" si="311">SUM(E1801:E1816)</f>
        <v>253</v>
      </c>
      <c r="F1817" s="104">
        <f t="shared" si="311"/>
        <v>43</v>
      </c>
      <c r="G1817" s="128">
        <f t="shared" si="311"/>
        <v>29</v>
      </c>
      <c r="H1817" s="128">
        <f t="shared" si="311"/>
        <v>24</v>
      </c>
      <c r="I1817" s="128">
        <f t="shared" si="311"/>
        <v>20</v>
      </c>
      <c r="J1817" s="128">
        <f t="shared" si="311"/>
        <v>15</v>
      </c>
      <c r="K1817" s="128">
        <f t="shared" si="311"/>
        <v>7</v>
      </c>
      <c r="L1817" s="128">
        <f t="shared" si="311"/>
        <v>8</v>
      </c>
      <c r="M1817" s="128">
        <f t="shared" si="311"/>
        <v>17</v>
      </c>
      <c r="N1817" s="128">
        <f t="shared" si="311"/>
        <v>71</v>
      </c>
      <c r="O1817" s="129">
        <f t="shared" si="311"/>
        <v>145</v>
      </c>
      <c r="P1817" s="128">
        <f t="shared" ref="P1817:P1819" si="312">MIN(F1817:O1817)</f>
        <v>7</v>
      </c>
      <c r="Q1817" s="128">
        <f t="shared" ref="Q1817:Q1818" si="313">E1817-P1817</f>
        <v>246</v>
      </c>
      <c r="R1817" s="72">
        <f t="shared" ref="R1817:R1819" si="314">Q1817/E1817</f>
        <v>0.97233201581027673</v>
      </c>
      <c r="S1817" s="1"/>
      <c r="T1817" s="1"/>
      <c r="U1817" s="1"/>
    </row>
    <row r="1818" spans="1:21" ht="9.75" customHeight="1" x14ac:dyDescent="0.4">
      <c r="A1818" s="1"/>
      <c r="B1818" s="1"/>
      <c r="C1818" s="15" t="s">
        <v>216</v>
      </c>
      <c r="D1818" s="15" t="s">
        <v>300</v>
      </c>
      <c r="E1818" s="15">
        <v>156</v>
      </c>
      <c r="F1818" s="32">
        <v>102</v>
      </c>
      <c r="G1818" s="6">
        <v>0</v>
      </c>
      <c r="H1818" s="6">
        <v>0</v>
      </c>
      <c r="I1818" s="6">
        <v>0</v>
      </c>
      <c r="J1818" s="6">
        <v>0</v>
      </c>
      <c r="K1818" s="6">
        <v>2</v>
      </c>
      <c r="L1818" s="6">
        <v>3</v>
      </c>
      <c r="M1818" s="6">
        <v>18</v>
      </c>
      <c r="N1818" s="6">
        <v>40</v>
      </c>
      <c r="O1818" s="31">
        <v>69</v>
      </c>
      <c r="P1818" s="32">
        <f t="shared" si="312"/>
        <v>0</v>
      </c>
      <c r="Q1818" s="6">
        <f t="shared" si="313"/>
        <v>156</v>
      </c>
      <c r="R1818" s="59">
        <f t="shared" si="314"/>
        <v>1</v>
      </c>
      <c r="S1818" s="1"/>
      <c r="T1818" s="1"/>
      <c r="U1818" s="1"/>
    </row>
    <row r="1819" spans="1:21" ht="9.75" customHeight="1" x14ac:dyDescent="0.4">
      <c r="A1819" s="1"/>
      <c r="B1819" s="1"/>
      <c r="C1819" s="17"/>
      <c r="D1819" s="17" t="s">
        <v>301</v>
      </c>
      <c r="E1819" s="17">
        <v>89</v>
      </c>
      <c r="F1819" s="32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0</v>
      </c>
      <c r="M1819" s="6">
        <v>12</v>
      </c>
      <c r="N1819" s="6">
        <v>28</v>
      </c>
      <c r="O1819" s="31">
        <v>59</v>
      </c>
      <c r="P1819" s="32">
        <f t="shared" si="312"/>
        <v>0</v>
      </c>
      <c r="Q1819" s="6">
        <f>H1819-P1819</f>
        <v>0</v>
      </c>
      <c r="R1819" s="59">
        <f t="shared" si="314"/>
        <v>0</v>
      </c>
      <c r="S1819" s="1"/>
      <c r="T1819" s="1"/>
      <c r="U1819" s="1"/>
    </row>
    <row r="1820" spans="1:21" ht="9.75" customHeight="1" x14ac:dyDescent="0.4">
      <c r="A1820" s="1"/>
      <c r="B1820" s="1"/>
      <c r="C1820" s="17"/>
      <c r="D1820" s="17" t="s">
        <v>303</v>
      </c>
      <c r="E1820" s="17"/>
      <c r="F1820" s="32"/>
      <c r="G1820" s="6"/>
      <c r="H1820" s="6"/>
      <c r="I1820" s="6"/>
      <c r="J1820" s="6"/>
      <c r="K1820" s="6"/>
      <c r="L1820" s="6"/>
      <c r="M1820" s="6"/>
      <c r="N1820" s="6"/>
      <c r="O1820" s="31"/>
      <c r="P1820" s="32"/>
      <c r="Q1820" s="6"/>
      <c r="R1820" s="59"/>
      <c r="S1820" s="1"/>
      <c r="T1820" s="1"/>
      <c r="U1820" s="1"/>
    </row>
    <row r="1821" spans="1:21" ht="9.75" customHeight="1" x14ac:dyDescent="0.4">
      <c r="A1821" s="1"/>
      <c r="B1821" s="1"/>
      <c r="C1821" s="17"/>
      <c r="D1821" s="17" t="s">
        <v>369</v>
      </c>
      <c r="E1821" s="17"/>
      <c r="F1821" s="32"/>
      <c r="G1821" s="6"/>
      <c r="H1821" s="6"/>
      <c r="I1821" s="6"/>
      <c r="J1821" s="6"/>
      <c r="K1821" s="6"/>
      <c r="L1821" s="6"/>
      <c r="M1821" s="6"/>
      <c r="N1821" s="6"/>
      <c r="O1821" s="31"/>
      <c r="P1821" s="32"/>
      <c r="Q1821" s="6"/>
      <c r="R1821" s="59"/>
      <c r="S1821" s="1"/>
      <c r="T1821" s="1"/>
      <c r="U1821" s="1"/>
    </row>
    <row r="1822" spans="1:21" ht="9.75" customHeight="1" x14ac:dyDescent="0.4">
      <c r="A1822" s="1"/>
      <c r="B1822" s="1"/>
      <c r="C1822" s="17"/>
      <c r="D1822" s="17" t="s">
        <v>369</v>
      </c>
      <c r="E1822" s="17"/>
      <c r="F1822" s="32"/>
      <c r="G1822" s="6"/>
      <c r="H1822" s="6"/>
      <c r="I1822" s="6"/>
      <c r="J1822" s="6"/>
      <c r="K1822" s="6"/>
      <c r="L1822" s="6"/>
      <c r="M1822" s="6"/>
      <c r="N1822" s="6"/>
      <c r="O1822" s="31"/>
      <c r="P1822" s="32"/>
      <c r="Q1822" s="6"/>
      <c r="R1822" s="59"/>
      <c r="S1822" s="1"/>
      <c r="T1822" s="1"/>
      <c r="U1822" s="1"/>
    </row>
    <row r="1823" spans="1:21" ht="9.75" customHeight="1" x14ac:dyDescent="0.4">
      <c r="A1823" s="1"/>
      <c r="B1823" s="1"/>
      <c r="C1823" s="17"/>
      <c r="D1823" s="17" t="s">
        <v>308</v>
      </c>
      <c r="E1823" s="17"/>
      <c r="F1823" s="32"/>
      <c r="G1823" s="6"/>
      <c r="H1823" s="6"/>
      <c r="I1823" s="6"/>
      <c r="J1823" s="6"/>
      <c r="K1823" s="6"/>
      <c r="L1823" s="6"/>
      <c r="M1823" s="6"/>
      <c r="N1823" s="6"/>
      <c r="O1823" s="31"/>
      <c r="P1823" s="32"/>
      <c r="Q1823" s="6"/>
      <c r="R1823" s="59"/>
      <c r="S1823" s="1"/>
      <c r="T1823" s="1"/>
      <c r="U1823" s="1"/>
    </row>
    <row r="1824" spans="1:21" ht="9.75" customHeight="1" x14ac:dyDescent="0.4">
      <c r="A1824" s="1"/>
      <c r="B1824" s="1"/>
      <c r="C1824" s="17"/>
      <c r="D1824" s="17" t="s">
        <v>372</v>
      </c>
      <c r="E1824" s="17">
        <v>8</v>
      </c>
      <c r="F1824" s="32">
        <v>7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2</v>
      </c>
      <c r="M1824" s="6">
        <v>2</v>
      </c>
      <c r="N1824" s="6">
        <v>3</v>
      </c>
      <c r="O1824" s="31">
        <v>5</v>
      </c>
      <c r="P1824" s="32">
        <f>MIN(F1824:O1824)</f>
        <v>0</v>
      </c>
      <c r="Q1824" s="6">
        <f>E1824-P1824</f>
        <v>8</v>
      </c>
      <c r="R1824" s="59">
        <f>Q1824/E1824</f>
        <v>1</v>
      </c>
      <c r="S1824" s="1"/>
      <c r="T1824" s="1"/>
      <c r="U1824" s="1"/>
    </row>
    <row r="1825" spans="1:21" ht="9.75" customHeight="1" x14ac:dyDescent="0.4">
      <c r="A1825" s="1"/>
      <c r="B1825" s="1"/>
      <c r="C1825" s="17"/>
      <c r="D1825" s="17" t="s">
        <v>374</v>
      </c>
      <c r="E1825" s="17"/>
      <c r="F1825" s="32"/>
      <c r="G1825" s="6"/>
      <c r="H1825" s="6"/>
      <c r="I1825" s="6"/>
      <c r="J1825" s="6"/>
      <c r="K1825" s="6"/>
      <c r="L1825" s="6"/>
      <c r="M1825" s="6"/>
      <c r="N1825" s="6"/>
      <c r="O1825" s="31"/>
      <c r="P1825" s="32"/>
      <c r="Q1825" s="6"/>
      <c r="R1825" s="59"/>
      <c r="S1825" s="1"/>
      <c r="T1825" s="1"/>
      <c r="U1825" s="1"/>
    </row>
    <row r="1826" spans="1:21" ht="9.75" customHeight="1" x14ac:dyDescent="0.4">
      <c r="A1826" s="1"/>
      <c r="B1826" s="1"/>
      <c r="C1826" s="17"/>
      <c r="D1826" s="17" t="s">
        <v>374</v>
      </c>
      <c r="E1826" s="17"/>
      <c r="F1826" s="32"/>
      <c r="G1826" s="6"/>
      <c r="H1826" s="6"/>
      <c r="I1826" s="6"/>
      <c r="J1826" s="6"/>
      <c r="K1826" s="6"/>
      <c r="L1826" s="6"/>
      <c r="M1826" s="6"/>
      <c r="N1826" s="6"/>
      <c r="O1826" s="31"/>
      <c r="P1826" s="32"/>
      <c r="Q1826" s="6"/>
      <c r="R1826" s="59"/>
      <c r="S1826" s="1"/>
      <c r="T1826" s="1"/>
      <c r="U1826" s="1"/>
    </row>
    <row r="1827" spans="1:21" ht="9.75" customHeight="1" x14ac:dyDescent="0.4">
      <c r="A1827" s="1"/>
      <c r="B1827" s="1"/>
      <c r="C1827" s="17"/>
      <c r="D1827" s="17" t="s">
        <v>374</v>
      </c>
      <c r="E1827" s="17"/>
      <c r="F1827" s="32"/>
      <c r="G1827" s="6"/>
      <c r="H1827" s="6"/>
      <c r="I1827" s="6"/>
      <c r="J1827" s="6"/>
      <c r="K1827" s="6"/>
      <c r="L1827" s="6"/>
      <c r="M1827" s="6"/>
      <c r="N1827" s="6"/>
      <c r="O1827" s="31"/>
      <c r="P1827" s="32"/>
      <c r="Q1827" s="6"/>
      <c r="R1827" s="59"/>
      <c r="S1827" s="1"/>
      <c r="T1827" s="1"/>
      <c r="U1827" s="1"/>
    </row>
    <row r="1828" spans="1:21" ht="9.75" customHeight="1" x14ac:dyDescent="0.4">
      <c r="A1828" s="1"/>
      <c r="B1828" s="1"/>
      <c r="C1828" s="17"/>
      <c r="D1828" s="17" t="s">
        <v>374</v>
      </c>
      <c r="E1828" s="17"/>
      <c r="F1828" s="32"/>
      <c r="G1828" s="6"/>
      <c r="H1828" s="6"/>
      <c r="I1828" s="6"/>
      <c r="J1828" s="6"/>
      <c r="K1828" s="6"/>
      <c r="L1828" s="6"/>
      <c r="M1828" s="6"/>
      <c r="N1828" s="6"/>
      <c r="O1828" s="31"/>
      <c r="P1828" s="32"/>
      <c r="Q1828" s="6"/>
      <c r="R1828" s="59"/>
      <c r="S1828" s="1"/>
      <c r="T1828" s="1"/>
      <c r="U1828" s="1"/>
    </row>
    <row r="1829" spans="1:21" ht="9.75" customHeight="1" x14ac:dyDescent="0.4">
      <c r="A1829" s="1"/>
      <c r="B1829" s="1"/>
      <c r="C1829" s="17"/>
      <c r="D1829" s="17" t="s">
        <v>374</v>
      </c>
      <c r="E1829" s="17"/>
      <c r="F1829" s="32"/>
      <c r="G1829" s="6"/>
      <c r="H1829" s="6"/>
      <c r="I1829" s="6"/>
      <c r="J1829" s="6"/>
      <c r="K1829" s="6"/>
      <c r="L1829" s="6"/>
      <c r="M1829" s="6"/>
      <c r="N1829" s="6"/>
      <c r="O1829" s="31"/>
      <c r="P1829" s="32"/>
      <c r="Q1829" s="6"/>
      <c r="R1829" s="59"/>
      <c r="S1829" s="1"/>
      <c r="T1829" s="1"/>
      <c r="U1829" s="1"/>
    </row>
    <row r="1830" spans="1:21" ht="9.75" customHeight="1" x14ac:dyDescent="0.4">
      <c r="A1830" s="1"/>
      <c r="B1830" s="1"/>
      <c r="C1830" s="17"/>
      <c r="D1830" s="17" t="s">
        <v>310</v>
      </c>
      <c r="E1830" s="376">
        <v>6</v>
      </c>
      <c r="F1830" s="377">
        <v>6</v>
      </c>
      <c r="G1830" s="378">
        <v>5</v>
      </c>
      <c r="H1830" s="378">
        <v>1</v>
      </c>
      <c r="I1830" s="378">
        <v>3</v>
      </c>
      <c r="J1830" s="378">
        <v>3</v>
      </c>
      <c r="K1830" s="378">
        <v>3</v>
      </c>
      <c r="L1830" s="378">
        <v>3</v>
      </c>
      <c r="M1830" s="378">
        <v>3</v>
      </c>
      <c r="N1830" s="378">
        <v>4</v>
      </c>
      <c r="O1830" s="379">
        <v>4</v>
      </c>
      <c r="P1830" s="32">
        <f t="shared" ref="P1830:P1831" si="315">MIN(F1830:O1830)</f>
        <v>1</v>
      </c>
      <c r="Q1830" s="6">
        <f t="shared" ref="Q1830:Q1831" si="316">E1830-P1830</f>
        <v>5</v>
      </c>
      <c r="R1830" s="59">
        <f t="shared" ref="R1830:R1831" si="317">Q1830/E1830</f>
        <v>0.83333333333333337</v>
      </c>
      <c r="S1830" s="1"/>
      <c r="T1830" s="1"/>
      <c r="U1830" s="1"/>
    </row>
    <row r="1831" spans="1:21" ht="9.75" customHeight="1" x14ac:dyDescent="0.4">
      <c r="A1831" s="1"/>
      <c r="B1831" s="1"/>
      <c r="C1831" s="17"/>
      <c r="D1831" s="17" t="s">
        <v>456</v>
      </c>
      <c r="E1831" s="376">
        <v>2</v>
      </c>
      <c r="F1831" s="377">
        <v>2</v>
      </c>
      <c r="G1831" s="378">
        <v>2</v>
      </c>
      <c r="H1831" s="378">
        <v>2</v>
      </c>
      <c r="I1831" s="378">
        <v>2</v>
      </c>
      <c r="J1831" s="378">
        <v>2</v>
      </c>
      <c r="K1831" s="378">
        <v>2</v>
      </c>
      <c r="L1831" s="378">
        <v>2</v>
      </c>
      <c r="M1831" s="378">
        <v>2</v>
      </c>
      <c r="N1831" s="378">
        <v>2</v>
      </c>
      <c r="O1831" s="379">
        <v>2</v>
      </c>
      <c r="P1831" s="32">
        <f t="shared" si="315"/>
        <v>2</v>
      </c>
      <c r="Q1831" s="6">
        <f t="shared" si="316"/>
        <v>0</v>
      </c>
      <c r="R1831" s="59">
        <f t="shared" si="317"/>
        <v>0</v>
      </c>
      <c r="S1831" s="1"/>
      <c r="T1831" s="1"/>
      <c r="U1831" s="1"/>
    </row>
    <row r="1832" spans="1:21" ht="9.75" customHeight="1" x14ac:dyDescent="0.4">
      <c r="A1832" s="1"/>
      <c r="B1832" s="1"/>
      <c r="C1832" s="17"/>
      <c r="D1832" s="17" t="s">
        <v>312</v>
      </c>
      <c r="E1832" s="17"/>
      <c r="F1832" s="32"/>
      <c r="G1832" s="6"/>
      <c r="H1832" s="6"/>
      <c r="I1832" s="6"/>
      <c r="J1832" s="6"/>
      <c r="K1832" s="6"/>
      <c r="L1832" s="6"/>
      <c r="M1832" s="6"/>
      <c r="N1832" s="6"/>
      <c r="O1832" s="31"/>
      <c r="P1832" s="32"/>
      <c r="Q1832" s="6"/>
      <c r="R1832" s="59"/>
      <c r="S1832" s="1"/>
      <c r="T1832" s="1"/>
      <c r="U1832" s="1"/>
    </row>
    <row r="1833" spans="1:21" ht="9.75" customHeight="1" x14ac:dyDescent="0.4">
      <c r="A1833" s="1"/>
      <c r="B1833" s="1"/>
      <c r="C1833" s="17"/>
      <c r="D1833" s="17" t="s">
        <v>313</v>
      </c>
      <c r="E1833" s="17"/>
      <c r="F1833" s="32"/>
      <c r="G1833" s="6"/>
      <c r="H1833" s="6"/>
      <c r="I1833" s="6"/>
      <c r="J1833" s="6"/>
      <c r="K1833" s="6"/>
      <c r="L1833" s="6"/>
      <c r="M1833" s="6"/>
      <c r="N1833" s="6"/>
      <c r="O1833" s="31"/>
      <c r="P1833" s="32"/>
      <c r="Q1833" s="6"/>
      <c r="R1833" s="59"/>
      <c r="S1833" s="1"/>
      <c r="T1833" s="1"/>
      <c r="U1833" s="1"/>
    </row>
    <row r="1834" spans="1:21" ht="9.75" customHeight="1" x14ac:dyDescent="0.4">
      <c r="A1834" s="1"/>
      <c r="B1834" s="1" t="s">
        <v>395</v>
      </c>
      <c r="C1834" s="34"/>
      <c r="D1834" s="65" t="s">
        <v>314</v>
      </c>
      <c r="E1834" s="65">
        <f t="shared" ref="E1834:O1834" si="318">SUM(E1818:E1833)</f>
        <v>261</v>
      </c>
      <c r="F1834" s="104">
        <f t="shared" si="318"/>
        <v>117</v>
      </c>
      <c r="G1834" s="128">
        <f t="shared" si="318"/>
        <v>7</v>
      </c>
      <c r="H1834" s="128">
        <f t="shared" si="318"/>
        <v>3</v>
      </c>
      <c r="I1834" s="128">
        <f t="shared" si="318"/>
        <v>5</v>
      </c>
      <c r="J1834" s="128">
        <f t="shared" si="318"/>
        <v>5</v>
      </c>
      <c r="K1834" s="128">
        <f t="shared" si="318"/>
        <v>7</v>
      </c>
      <c r="L1834" s="128">
        <f t="shared" si="318"/>
        <v>10</v>
      </c>
      <c r="M1834" s="128">
        <f t="shared" si="318"/>
        <v>37</v>
      </c>
      <c r="N1834" s="128">
        <f t="shared" si="318"/>
        <v>77</v>
      </c>
      <c r="O1834" s="129">
        <f t="shared" si="318"/>
        <v>139</v>
      </c>
      <c r="P1834" s="104">
        <f>MIN(F1834:O1834)</f>
        <v>3</v>
      </c>
      <c r="Q1834" s="128">
        <f>E1834-P1834</f>
        <v>258</v>
      </c>
      <c r="R1834" s="72">
        <f>Q1834/E1834</f>
        <v>0.9885057471264368</v>
      </c>
      <c r="S1834" s="1"/>
      <c r="T1834" s="1"/>
      <c r="U1834" s="1"/>
    </row>
    <row r="1835" spans="1:21" ht="9.75" customHeight="1" x14ac:dyDescent="0.4">
      <c r="A1835" s="1"/>
      <c r="B1835" s="1"/>
      <c r="C1835" s="15" t="s">
        <v>221</v>
      </c>
      <c r="D1835" s="15" t="s">
        <v>300</v>
      </c>
      <c r="E1835" s="15"/>
      <c r="F1835" s="73"/>
      <c r="G1835" s="108"/>
      <c r="H1835" s="108"/>
      <c r="I1835" s="108"/>
      <c r="J1835" s="108"/>
      <c r="K1835" s="108"/>
      <c r="L1835" s="108"/>
      <c r="M1835" s="108"/>
      <c r="N1835" s="108"/>
      <c r="O1835" s="109"/>
      <c r="P1835" s="73"/>
      <c r="Q1835" s="108"/>
      <c r="R1835" s="188"/>
      <c r="S1835" s="1"/>
      <c r="T1835" s="1"/>
      <c r="U1835" s="1"/>
    </row>
    <row r="1836" spans="1:21" ht="9.75" customHeight="1" x14ac:dyDescent="0.4">
      <c r="A1836" s="1"/>
      <c r="B1836" s="1"/>
      <c r="C1836" s="17"/>
      <c r="D1836" s="17" t="s">
        <v>301</v>
      </c>
      <c r="E1836" s="17">
        <v>254</v>
      </c>
      <c r="F1836" s="32">
        <v>117</v>
      </c>
      <c r="G1836" s="6">
        <v>1</v>
      </c>
      <c r="H1836" s="6">
        <v>0</v>
      </c>
      <c r="I1836" s="6">
        <v>0</v>
      </c>
      <c r="J1836" s="6">
        <v>0</v>
      </c>
      <c r="K1836" s="6">
        <v>0</v>
      </c>
      <c r="L1836" s="6">
        <v>2</v>
      </c>
      <c r="M1836" s="6">
        <v>26</v>
      </c>
      <c r="N1836" s="6">
        <v>77</v>
      </c>
      <c r="O1836" s="31">
        <v>160</v>
      </c>
      <c r="P1836" s="32">
        <f>MIN(F1836:O1836)</f>
        <v>0</v>
      </c>
      <c r="Q1836" s="6">
        <f>E1836-P1836</f>
        <v>254</v>
      </c>
      <c r="R1836" s="59">
        <f>Q1836/E1836</f>
        <v>1</v>
      </c>
      <c r="S1836" s="1"/>
      <c r="T1836" s="1"/>
      <c r="U1836" s="1"/>
    </row>
    <row r="1837" spans="1:21" ht="9.75" customHeight="1" x14ac:dyDescent="0.4">
      <c r="A1837" s="1"/>
      <c r="B1837" s="1"/>
      <c r="C1837" s="17"/>
      <c r="D1837" s="17" t="s">
        <v>303</v>
      </c>
      <c r="E1837" s="17"/>
      <c r="F1837" s="32"/>
      <c r="G1837" s="6"/>
      <c r="H1837" s="6"/>
      <c r="I1837" s="6"/>
      <c r="J1837" s="6"/>
      <c r="K1837" s="6"/>
      <c r="L1837" s="6"/>
      <c r="M1837" s="6"/>
      <c r="N1837" s="6"/>
      <c r="O1837" s="31"/>
      <c r="P1837" s="32"/>
      <c r="Q1837" s="6"/>
      <c r="R1837" s="59"/>
      <c r="S1837" s="1"/>
      <c r="T1837" s="1"/>
      <c r="U1837" s="1"/>
    </row>
    <row r="1838" spans="1:21" ht="9.75" customHeight="1" x14ac:dyDescent="0.4">
      <c r="A1838" s="1"/>
      <c r="B1838" s="1"/>
      <c r="C1838" s="17"/>
      <c r="D1838" s="17" t="s">
        <v>369</v>
      </c>
      <c r="E1838" s="17"/>
      <c r="F1838" s="32"/>
      <c r="G1838" s="6"/>
      <c r="H1838" s="6"/>
      <c r="I1838" s="6"/>
      <c r="J1838" s="6"/>
      <c r="K1838" s="6"/>
      <c r="L1838" s="6"/>
      <c r="M1838" s="6"/>
      <c r="N1838" s="6"/>
      <c r="O1838" s="31"/>
      <c r="P1838" s="32"/>
      <c r="Q1838" s="6"/>
      <c r="R1838" s="59"/>
      <c r="S1838" s="1"/>
      <c r="T1838" s="182"/>
      <c r="U1838" s="182"/>
    </row>
    <row r="1839" spans="1:21" ht="9.75" customHeight="1" x14ac:dyDescent="0.4">
      <c r="A1839" s="1"/>
      <c r="B1839" s="1"/>
      <c r="C1839" s="17"/>
      <c r="D1839" s="17" t="s">
        <v>369</v>
      </c>
      <c r="E1839" s="17"/>
      <c r="F1839" s="32"/>
      <c r="G1839" s="6"/>
      <c r="H1839" s="6"/>
      <c r="I1839" s="6"/>
      <c r="J1839" s="6"/>
      <c r="K1839" s="6"/>
      <c r="L1839" s="6"/>
      <c r="M1839" s="6"/>
      <c r="N1839" s="6"/>
      <c r="O1839" s="31"/>
      <c r="P1839" s="32"/>
      <c r="Q1839" s="6"/>
      <c r="R1839" s="59"/>
      <c r="S1839" s="1"/>
      <c r="T1839" s="182"/>
      <c r="U1839" s="182"/>
    </row>
    <row r="1840" spans="1:21" ht="9.75" customHeight="1" x14ac:dyDescent="0.4">
      <c r="A1840" s="1"/>
      <c r="B1840" s="1"/>
      <c r="C1840" s="17"/>
      <c r="D1840" s="17" t="s">
        <v>308</v>
      </c>
      <c r="E1840" s="17"/>
      <c r="F1840" s="32"/>
      <c r="G1840" s="6"/>
      <c r="H1840" s="6"/>
      <c r="I1840" s="6"/>
      <c r="J1840" s="6"/>
      <c r="K1840" s="6"/>
      <c r="L1840" s="6"/>
      <c r="M1840" s="6"/>
      <c r="N1840" s="6"/>
      <c r="O1840" s="31"/>
      <c r="P1840" s="32"/>
      <c r="Q1840" s="6"/>
      <c r="R1840" s="59"/>
      <c r="S1840" s="1"/>
      <c r="T1840" s="182"/>
      <c r="U1840" s="182"/>
    </row>
    <row r="1841" spans="1:21" ht="9.75" customHeight="1" x14ac:dyDescent="0.4">
      <c r="A1841" s="1"/>
      <c r="B1841" s="1"/>
      <c r="C1841" s="17"/>
      <c r="D1841" s="17" t="s">
        <v>372</v>
      </c>
      <c r="E1841" s="17">
        <v>8</v>
      </c>
      <c r="F1841" s="32">
        <v>7</v>
      </c>
      <c r="G1841" s="6">
        <v>2</v>
      </c>
      <c r="H1841" s="6">
        <v>0</v>
      </c>
      <c r="I1841" s="6">
        <v>0</v>
      </c>
      <c r="J1841" s="6">
        <v>0</v>
      </c>
      <c r="K1841" s="6">
        <v>0</v>
      </c>
      <c r="L1841" s="6">
        <v>1</v>
      </c>
      <c r="M1841" s="6">
        <v>1</v>
      </c>
      <c r="N1841" s="6">
        <v>2</v>
      </c>
      <c r="O1841" s="31">
        <v>3</v>
      </c>
      <c r="P1841" s="32">
        <f>MIN(F1841:O1841)</f>
        <v>0</v>
      </c>
      <c r="Q1841" s="6">
        <f>E1841-P1841</f>
        <v>8</v>
      </c>
      <c r="R1841" s="59">
        <f>Q1841/E1841</f>
        <v>1</v>
      </c>
      <c r="S1841" s="1"/>
      <c r="T1841" s="182"/>
      <c r="U1841" s="182"/>
    </row>
    <row r="1842" spans="1:21" ht="9.75" customHeight="1" x14ac:dyDescent="0.4">
      <c r="A1842" s="1"/>
      <c r="B1842" s="1"/>
      <c r="C1842" s="17"/>
      <c r="D1842" s="17" t="s">
        <v>374</v>
      </c>
      <c r="E1842" s="17"/>
      <c r="F1842" s="32"/>
      <c r="G1842" s="6"/>
      <c r="H1842" s="6"/>
      <c r="I1842" s="6"/>
      <c r="J1842" s="6"/>
      <c r="K1842" s="6"/>
      <c r="L1842" s="6"/>
      <c r="M1842" s="6"/>
      <c r="N1842" s="6"/>
      <c r="O1842" s="31"/>
      <c r="P1842" s="32"/>
      <c r="Q1842" s="6"/>
      <c r="R1842" s="59"/>
      <c r="S1842" s="1"/>
      <c r="T1842" s="182"/>
      <c r="U1842" s="182"/>
    </row>
    <row r="1843" spans="1:21" ht="9.75" customHeight="1" x14ac:dyDescent="0.4">
      <c r="A1843" s="1"/>
      <c r="B1843" s="1"/>
      <c r="C1843" s="17"/>
      <c r="D1843" s="17" t="s">
        <v>374</v>
      </c>
      <c r="E1843" s="17"/>
      <c r="F1843" s="32"/>
      <c r="G1843" s="6"/>
      <c r="H1843" s="6"/>
      <c r="I1843" s="6"/>
      <c r="J1843" s="6"/>
      <c r="K1843" s="6"/>
      <c r="L1843" s="6"/>
      <c r="M1843" s="6"/>
      <c r="N1843" s="6"/>
      <c r="O1843" s="31"/>
      <c r="P1843" s="32"/>
      <c r="Q1843" s="6"/>
      <c r="R1843" s="59"/>
      <c r="S1843" s="1"/>
      <c r="T1843" s="182"/>
      <c r="U1843" s="182"/>
    </row>
    <row r="1844" spans="1:21" ht="9.75" customHeight="1" x14ac:dyDescent="0.4">
      <c r="A1844" s="1"/>
      <c r="B1844" s="1"/>
      <c r="C1844" s="17"/>
      <c r="D1844" s="17" t="s">
        <v>374</v>
      </c>
      <c r="E1844" s="17"/>
      <c r="F1844" s="32"/>
      <c r="G1844" s="6"/>
      <c r="H1844" s="6"/>
      <c r="I1844" s="6"/>
      <c r="J1844" s="6"/>
      <c r="K1844" s="6"/>
      <c r="L1844" s="6"/>
      <c r="M1844" s="6"/>
      <c r="N1844" s="6"/>
      <c r="O1844" s="31"/>
      <c r="P1844" s="32"/>
      <c r="Q1844" s="6"/>
      <c r="R1844" s="59"/>
      <c r="S1844" s="1"/>
      <c r="T1844" s="182"/>
      <c r="U1844" s="182"/>
    </row>
    <row r="1845" spans="1:21" ht="9.75" customHeight="1" x14ac:dyDescent="0.4">
      <c r="A1845" s="1"/>
      <c r="B1845" s="1"/>
      <c r="C1845" s="17"/>
      <c r="D1845" s="17" t="s">
        <v>374</v>
      </c>
      <c r="E1845" s="17"/>
      <c r="F1845" s="32"/>
      <c r="G1845" s="6"/>
      <c r="H1845" s="6"/>
      <c r="I1845" s="6"/>
      <c r="J1845" s="6"/>
      <c r="K1845" s="6"/>
      <c r="L1845" s="6"/>
      <c r="M1845" s="6"/>
      <c r="N1845" s="6"/>
      <c r="O1845" s="31"/>
      <c r="P1845" s="32"/>
      <c r="Q1845" s="6"/>
      <c r="R1845" s="59"/>
      <c r="S1845" s="1"/>
      <c r="T1845" s="182"/>
      <c r="U1845" s="182"/>
    </row>
    <row r="1846" spans="1:21" ht="9.75" customHeight="1" x14ac:dyDescent="0.4">
      <c r="A1846" s="1"/>
      <c r="B1846" s="1"/>
      <c r="C1846" s="17"/>
      <c r="D1846" s="17" t="s">
        <v>374</v>
      </c>
      <c r="E1846" s="17"/>
      <c r="F1846" s="32"/>
      <c r="G1846" s="6"/>
      <c r="H1846" s="6"/>
      <c r="I1846" s="6"/>
      <c r="J1846" s="6"/>
      <c r="K1846" s="6"/>
      <c r="L1846" s="6"/>
      <c r="M1846" s="6"/>
      <c r="N1846" s="6"/>
      <c r="O1846" s="31"/>
      <c r="P1846" s="32"/>
      <c r="Q1846" s="6"/>
      <c r="R1846" s="59"/>
      <c r="S1846" s="1"/>
      <c r="T1846" s="182"/>
      <c r="U1846" s="182"/>
    </row>
    <row r="1847" spans="1:21" ht="9.75" customHeight="1" x14ac:dyDescent="0.4">
      <c r="A1847" s="1"/>
      <c r="B1847" s="1"/>
      <c r="C1847" s="17"/>
      <c r="D1847" s="17" t="s">
        <v>310</v>
      </c>
      <c r="E1847" s="17">
        <v>5</v>
      </c>
      <c r="F1847" s="32">
        <v>5</v>
      </c>
      <c r="G1847" s="6">
        <v>5</v>
      </c>
      <c r="H1847" s="6">
        <v>4</v>
      </c>
      <c r="I1847" s="6">
        <v>4</v>
      </c>
      <c r="J1847" s="6">
        <v>4</v>
      </c>
      <c r="K1847" s="6">
        <v>4</v>
      </c>
      <c r="L1847" s="6">
        <v>4</v>
      </c>
      <c r="M1847" s="6">
        <v>5</v>
      </c>
      <c r="N1847" s="6">
        <v>5</v>
      </c>
      <c r="O1847" s="31">
        <v>5</v>
      </c>
      <c r="P1847" s="32">
        <f t="shared" ref="P1847:P1848" si="319">MIN(F1847:O1847)</f>
        <v>4</v>
      </c>
      <c r="Q1847" s="6">
        <f t="shared" ref="Q1847:Q1848" si="320">E1847-P1847</f>
        <v>1</v>
      </c>
      <c r="R1847" s="59">
        <f t="shared" ref="R1847:R1848" si="321">Q1847/E1847</f>
        <v>0.2</v>
      </c>
      <c r="S1847" s="1"/>
      <c r="T1847" s="182"/>
      <c r="U1847" s="182"/>
    </row>
    <row r="1848" spans="1:21" ht="9.75" customHeight="1" x14ac:dyDescent="0.4">
      <c r="A1848" s="1"/>
      <c r="B1848" s="1"/>
      <c r="C1848" s="17"/>
      <c r="D1848" s="17" t="s">
        <v>456</v>
      </c>
      <c r="E1848" s="17">
        <v>1</v>
      </c>
      <c r="F1848" s="32">
        <v>1</v>
      </c>
      <c r="G1848" s="6">
        <v>1</v>
      </c>
      <c r="H1848" s="6">
        <v>1</v>
      </c>
      <c r="I1848" s="6">
        <v>1</v>
      </c>
      <c r="J1848" s="6">
        <v>1</v>
      </c>
      <c r="K1848" s="6">
        <v>1</v>
      </c>
      <c r="L1848" s="6">
        <v>0</v>
      </c>
      <c r="M1848" s="6">
        <v>1</v>
      </c>
      <c r="N1848" s="6">
        <v>1</v>
      </c>
      <c r="O1848" s="31">
        <v>1</v>
      </c>
      <c r="P1848" s="32">
        <f t="shared" si="319"/>
        <v>0</v>
      </c>
      <c r="Q1848" s="6">
        <f t="shared" si="320"/>
        <v>1</v>
      </c>
      <c r="R1848" s="59">
        <f t="shared" si="321"/>
        <v>1</v>
      </c>
      <c r="S1848" s="1"/>
      <c r="T1848" s="182"/>
      <c r="U1848" s="182"/>
    </row>
    <row r="1849" spans="1:21" ht="9.75" customHeight="1" x14ac:dyDescent="0.4">
      <c r="A1849" s="1"/>
      <c r="B1849" s="1"/>
      <c r="C1849" s="17"/>
      <c r="D1849" s="17" t="s">
        <v>312</v>
      </c>
      <c r="E1849" s="17"/>
      <c r="F1849" s="32"/>
      <c r="G1849" s="6"/>
      <c r="H1849" s="6"/>
      <c r="I1849" s="6"/>
      <c r="J1849" s="6"/>
      <c r="K1849" s="6"/>
      <c r="L1849" s="6"/>
      <c r="M1849" s="6"/>
      <c r="N1849" s="6"/>
      <c r="O1849" s="31"/>
      <c r="P1849" s="32"/>
      <c r="Q1849" s="6"/>
      <c r="R1849" s="59"/>
      <c r="S1849" s="1"/>
      <c r="T1849" s="182"/>
      <c r="U1849" s="182"/>
    </row>
    <row r="1850" spans="1:21" ht="9.75" customHeight="1" x14ac:dyDescent="0.4">
      <c r="A1850" s="1"/>
      <c r="B1850" s="1"/>
      <c r="C1850" s="17"/>
      <c r="D1850" s="17" t="s">
        <v>313</v>
      </c>
      <c r="E1850" s="17"/>
      <c r="F1850" s="32"/>
      <c r="G1850" s="6"/>
      <c r="H1850" s="6"/>
      <c r="I1850" s="6"/>
      <c r="J1850" s="6"/>
      <c r="K1850" s="6"/>
      <c r="L1850" s="6"/>
      <c r="M1850" s="6"/>
      <c r="N1850" s="6"/>
      <c r="O1850" s="31"/>
      <c r="P1850" s="32"/>
      <c r="Q1850" s="6"/>
      <c r="R1850" s="59"/>
      <c r="S1850" s="1"/>
      <c r="T1850" s="182"/>
      <c r="U1850" s="182"/>
    </row>
    <row r="1851" spans="1:21" ht="9.75" customHeight="1" x14ac:dyDescent="0.4">
      <c r="A1851" s="1"/>
      <c r="B1851" s="1" t="s">
        <v>395</v>
      </c>
      <c r="C1851" s="34"/>
      <c r="D1851" s="65" t="s">
        <v>314</v>
      </c>
      <c r="E1851" s="65">
        <f t="shared" ref="E1851:O1851" si="322">SUM(E1835:E1850)</f>
        <v>268</v>
      </c>
      <c r="F1851" s="104">
        <f t="shared" si="322"/>
        <v>130</v>
      </c>
      <c r="G1851" s="128">
        <f t="shared" si="322"/>
        <v>9</v>
      </c>
      <c r="H1851" s="128">
        <f t="shared" si="322"/>
        <v>5</v>
      </c>
      <c r="I1851" s="128">
        <f t="shared" si="322"/>
        <v>5</v>
      </c>
      <c r="J1851" s="128">
        <f t="shared" si="322"/>
        <v>5</v>
      </c>
      <c r="K1851" s="128">
        <f t="shared" si="322"/>
        <v>5</v>
      </c>
      <c r="L1851" s="128">
        <f t="shared" si="322"/>
        <v>7</v>
      </c>
      <c r="M1851" s="128">
        <f t="shared" si="322"/>
        <v>33</v>
      </c>
      <c r="N1851" s="128">
        <f t="shared" si="322"/>
        <v>85</v>
      </c>
      <c r="O1851" s="129">
        <f t="shared" si="322"/>
        <v>169</v>
      </c>
      <c r="P1851" s="104">
        <f>MIN(F1851:O1851)</f>
        <v>5</v>
      </c>
      <c r="Q1851" s="128">
        <f>E1851-P1851</f>
        <v>263</v>
      </c>
      <c r="R1851" s="72">
        <f>Q1851/E1851</f>
        <v>0.98134328358208955</v>
      </c>
      <c r="S1851" s="1"/>
      <c r="T1851" s="182"/>
      <c r="U1851" s="182"/>
    </row>
    <row r="1852" spans="1:21" ht="14.5" x14ac:dyDescent="0.4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82"/>
      <c r="U1852" s="182"/>
    </row>
    <row r="1853" spans="1:21" ht="14.5" x14ac:dyDescent="0.4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82"/>
      <c r="U1853" s="182"/>
    </row>
    <row r="1854" spans="1:21" ht="15" customHeight="1" x14ac:dyDescent="0.4">
      <c r="A1854" s="1"/>
      <c r="B1854" s="1"/>
      <c r="C1854" s="535" t="s">
        <v>472</v>
      </c>
      <c r="D1854" s="536"/>
      <c r="E1854" s="536"/>
      <c r="F1854" s="536"/>
      <c r="G1854" s="536"/>
      <c r="H1854" s="536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</row>
    <row r="1855" spans="1:21" ht="15" customHeight="1" x14ac:dyDescent="0.35">
      <c r="A1855" s="1" t="s">
        <v>391</v>
      </c>
      <c r="B1855" s="1"/>
      <c r="C1855" s="215" t="s">
        <v>390</v>
      </c>
      <c r="D1855" s="537" t="s">
        <v>329</v>
      </c>
      <c r="E1855" s="520"/>
      <c r="F1855" s="520"/>
      <c r="G1855" s="1"/>
      <c r="H1855" s="381" t="s">
        <v>320</v>
      </c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</row>
    <row r="1856" spans="1:21" ht="15" customHeight="1" x14ac:dyDescent="0.4">
      <c r="A1856" s="1" t="s">
        <v>392</v>
      </c>
      <c r="B1856" s="1"/>
      <c r="C1856" s="217">
        <f>SUM(E8:E696,E697:E1851)/2</f>
        <v>9582</v>
      </c>
      <c r="D1856" s="380" t="s">
        <v>473</v>
      </c>
      <c r="E1856" s="1"/>
      <c r="F1856" s="218">
        <f>'By Neighborhood'!C239</f>
        <v>9582</v>
      </c>
      <c r="G1856" s="1"/>
      <c r="H1856" s="218">
        <f>'By Area'!C33</f>
        <v>9582</v>
      </c>
      <c r="I1856" s="1"/>
      <c r="J1856" s="1"/>
      <c r="K1856" s="1"/>
      <c r="L1856" s="1"/>
      <c r="M1856" s="1"/>
      <c r="N1856" s="1"/>
      <c r="O1856" s="1"/>
      <c r="P1856" s="1"/>
      <c r="Q1856" s="182"/>
      <c r="R1856" s="1"/>
      <c r="S1856" s="1"/>
      <c r="T1856" s="1"/>
      <c r="U1856" s="1"/>
    </row>
    <row r="1857" spans="1:21" ht="4.5" customHeight="1" x14ac:dyDescent="0.4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82"/>
      <c r="R1857" s="1"/>
      <c r="S1857" s="1"/>
      <c r="T1857" s="1"/>
      <c r="U1857" s="1"/>
    </row>
    <row r="1858" spans="1:21" ht="14.5" x14ac:dyDescent="0.4">
      <c r="A1858" s="1"/>
      <c r="B1858" s="1"/>
      <c r="C1858" s="217" t="s">
        <v>474</v>
      </c>
      <c r="D1858" s="534" t="s">
        <v>475</v>
      </c>
      <c r="E1858" s="518"/>
      <c r="F1858" s="217">
        <f>'By Neighborhood'!C61</f>
        <v>0</v>
      </c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82"/>
      <c r="R1858" s="1"/>
      <c r="S1858" s="1"/>
      <c r="T1858" s="1"/>
      <c r="U1858" s="1"/>
    </row>
    <row r="1859" spans="1:21" ht="14.5" x14ac:dyDescent="0.4">
      <c r="A1859" s="1"/>
      <c r="B1859" s="1"/>
      <c r="C1859" s="217">
        <f>SUM(E8:E179,E214:E230)/2</f>
        <v>44</v>
      </c>
      <c r="D1859" s="534" t="s">
        <v>476</v>
      </c>
      <c r="E1859" s="518"/>
      <c r="F1859" s="217">
        <f>'By Neighborhood'!C74</f>
        <v>44</v>
      </c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82"/>
      <c r="R1859" s="1"/>
      <c r="S1859" s="1"/>
      <c r="T1859" s="1"/>
      <c r="U1859" s="1"/>
    </row>
    <row r="1860" spans="1:21" ht="14.5" x14ac:dyDescent="0.4">
      <c r="A1860" s="1"/>
      <c r="B1860" s="1"/>
      <c r="C1860" s="217">
        <f>SUM(E180:E213, E231:E332, E333:E383,E1252:E1268)/2</f>
        <v>1171</v>
      </c>
      <c r="D1860" s="534" t="s">
        <v>477</v>
      </c>
      <c r="E1860" s="518"/>
      <c r="F1860" s="218">
        <f>'By Neighborhood'!C85</f>
        <v>1171</v>
      </c>
      <c r="G1860" s="1"/>
      <c r="H1860" s="5"/>
      <c r="I1860" s="1"/>
      <c r="J1860" s="1"/>
      <c r="K1860" s="1"/>
      <c r="L1860" s="1"/>
      <c r="M1860" s="1"/>
      <c r="N1860" s="1"/>
      <c r="O1860" s="1"/>
      <c r="P1860" s="1"/>
      <c r="Q1860" s="182"/>
      <c r="R1860" s="1"/>
      <c r="S1860" s="1"/>
      <c r="T1860" s="1"/>
      <c r="U1860" s="1"/>
    </row>
    <row r="1861" spans="1:21" ht="14.5" x14ac:dyDescent="0.4">
      <c r="A1861" s="1"/>
      <c r="B1861" s="1"/>
      <c r="C1861" s="217">
        <f>SUM(E384:E434,E452:E502)/2</f>
        <v>477</v>
      </c>
      <c r="D1861" s="534" t="s">
        <v>478</v>
      </c>
      <c r="E1861" s="518"/>
      <c r="F1861" s="217">
        <f>'By Neighborhood'!C96</f>
        <v>477</v>
      </c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82"/>
      <c r="R1861" s="1"/>
      <c r="S1861" s="1"/>
      <c r="T1861" s="1"/>
      <c r="U1861" s="1"/>
    </row>
    <row r="1862" spans="1:21" ht="14.5" x14ac:dyDescent="0.4">
      <c r="A1862" s="1"/>
      <c r="B1862" s="1"/>
      <c r="C1862" s="217">
        <f>SUM(E622:E655,E690:E696,E697:E740)/2</f>
        <v>242</v>
      </c>
      <c r="D1862" s="534" t="s">
        <v>479</v>
      </c>
      <c r="E1862" s="518"/>
      <c r="F1862" s="217">
        <f>'By Neighborhood'!C119</f>
        <v>242</v>
      </c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82"/>
      <c r="R1862" s="1"/>
      <c r="S1862" s="1"/>
      <c r="T1862" s="1"/>
      <c r="U1862" s="1"/>
    </row>
    <row r="1863" spans="1:21" ht="14.5" x14ac:dyDescent="0.4">
      <c r="A1863" s="1"/>
      <c r="B1863" s="1"/>
      <c r="C1863" s="217">
        <f>SUM(E435:E451,E503:E621,E656:E689,E741:E842)/2</f>
        <v>2404</v>
      </c>
      <c r="D1863" s="534" t="s">
        <v>480</v>
      </c>
      <c r="E1863" s="518"/>
      <c r="F1863" s="217">
        <f>'By Neighborhood'!C108</f>
        <v>2404</v>
      </c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82"/>
      <c r="R1863" s="1"/>
      <c r="S1863" s="1"/>
      <c r="T1863" s="1"/>
      <c r="U1863" s="1"/>
    </row>
    <row r="1864" spans="1:21" ht="14.5" x14ac:dyDescent="0.4">
      <c r="A1864" s="1"/>
      <c r="B1864" s="1"/>
      <c r="C1864" s="217">
        <f>SUM(E843:E1030)/2</f>
        <v>1520</v>
      </c>
      <c r="D1864" s="534" t="s">
        <v>481</v>
      </c>
      <c r="E1864" s="518"/>
      <c r="F1864" s="217">
        <f>'By Neighborhood'!C131</f>
        <v>1520</v>
      </c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82"/>
      <c r="R1864" s="1"/>
      <c r="S1864" s="1"/>
      <c r="T1864" s="1"/>
      <c r="U1864" s="1"/>
    </row>
    <row r="1865" spans="1:21" ht="14.5" x14ac:dyDescent="0.4">
      <c r="A1865" s="1"/>
      <c r="B1865" s="1"/>
      <c r="C1865" s="217">
        <f>SUM(E1303:E1319,E1457:E1507, E1542:E1575)/2</f>
        <v>155</v>
      </c>
      <c r="D1865" s="534" t="s">
        <v>482</v>
      </c>
      <c r="E1865" s="518"/>
      <c r="F1865" s="217">
        <f>'By Neighborhood'!C143</f>
        <v>155</v>
      </c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82"/>
      <c r="R1865" s="1"/>
      <c r="S1865" s="1"/>
      <c r="T1865" s="1"/>
      <c r="U1865" s="1"/>
    </row>
    <row r="1866" spans="1:21" ht="14.5" x14ac:dyDescent="0.4">
      <c r="A1866" s="1"/>
      <c r="B1866" s="1"/>
      <c r="C1866" s="217">
        <f>SUM('By Lot - West Campus'!E1541,'By Lot - West Campus'!E1592)</f>
        <v>442</v>
      </c>
      <c r="D1866" s="534" t="s">
        <v>483</v>
      </c>
      <c r="E1866" s="518"/>
      <c r="F1866" s="217">
        <f>'By Neighborhood'!C154</f>
        <v>442</v>
      </c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82"/>
      <c r="R1866" s="1"/>
      <c r="S1866" s="1"/>
      <c r="T1866" s="1"/>
      <c r="U1866" s="1"/>
    </row>
    <row r="1867" spans="1:21" ht="14.5" x14ac:dyDescent="0.4">
      <c r="A1867" s="1"/>
      <c r="B1867" s="1"/>
      <c r="C1867" s="217">
        <f>SUM( E1031:E1064,E1116:E1149, E1320:E1422, E1508:E1524 )/2</f>
        <v>1110</v>
      </c>
      <c r="D1867" s="534" t="s">
        <v>484</v>
      </c>
      <c r="E1867" s="518"/>
      <c r="F1867" s="217">
        <f>'By Neighborhood'!C166</f>
        <v>1110</v>
      </c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</row>
    <row r="1868" spans="1:21" ht="14.5" x14ac:dyDescent="0.4">
      <c r="A1868" s="1"/>
      <c r="B1868" s="1"/>
      <c r="C1868" s="217">
        <f>SUM(E1099:E1115,E1150:E1251,E1269:E1285,E1423:E1439)/2</f>
        <v>140</v>
      </c>
      <c r="D1868" s="534" t="s">
        <v>485</v>
      </c>
      <c r="E1868" s="518"/>
      <c r="F1868" s="217">
        <f>'By Neighborhood'!C189</f>
        <v>140</v>
      </c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</row>
    <row r="1869" spans="1:21" ht="14.5" x14ac:dyDescent="0.4">
      <c r="A1869" s="1"/>
      <c r="B1869" s="1"/>
      <c r="C1869" s="217">
        <f>SUM(E1611:E1851)/2</f>
        <v>1877</v>
      </c>
      <c r="D1869" s="534" t="s">
        <v>486</v>
      </c>
      <c r="E1869" s="518"/>
      <c r="F1869" s="217">
        <f>'By Neighborhood'!C178</f>
        <v>1877</v>
      </c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</row>
    <row r="1870" spans="1:21" ht="14.5" x14ac:dyDescent="0.4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82"/>
      <c r="U1870" s="182"/>
    </row>
    <row r="1871" spans="1:21" ht="14.5" x14ac:dyDescent="0.4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82"/>
      <c r="U1871" s="182"/>
    </row>
    <row r="1872" spans="1:21" ht="14.5" x14ac:dyDescent="0.4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82"/>
      <c r="U1872" s="182"/>
    </row>
    <row r="1873" spans="1:21" ht="14.5" x14ac:dyDescent="0.4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82"/>
      <c r="U1873" s="182"/>
    </row>
    <row r="1874" spans="1:21" ht="14.5" x14ac:dyDescent="0.4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82"/>
      <c r="U1874" s="182"/>
    </row>
    <row r="1875" spans="1:21" ht="14.5" x14ac:dyDescent="0.4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82"/>
      <c r="U1875" s="182"/>
    </row>
    <row r="1876" spans="1:21" ht="14.5" x14ac:dyDescent="0.4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82"/>
      <c r="U1876" s="182"/>
    </row>
    <row r="1877" spans="1:21" ht="14.5" x14ac:dyDescent="0.4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82"/>
      <c r="U1877" s="182"/>
    </row>
    <row r="1878" spans="1:21" ht="14.5" x14ac:dyDescent="0.4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82"/>
      <c r="U1878" s="182"/>
    </row>
    <row r="1879" spans="1:21" ht="14.5" x14ac:dyDescent="0.4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82"/>
      <c r="U1879" s="182"/>
    </row>
    <row r="1880" spans="1:21" ht="14.5" x14ac:dyDescent="0.4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82"/>
      <c r="U1880" s="182"/>
    </row>
    <row r="1881" spans="1:21" ht="14.5" x14ac:dyDescent="0.4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82"/>
      <c r="U1881" s="182"/>
    </row>
    <row r="1882" spans="1:21" ht="14.5" x14ac:dyDescent="0.4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82"/>
      <c r="U1882" s="182"/>
    </row>
    <row r="1883" spans="1:21" ht="14.5" x14ac:dyDescent="0.4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82"/>
      <c r="U1883" s="182"/>
    </row>
    <row r="1884" spans="1:21" ht="14.5" x14ac:dyDescent="0.4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82"/>
      <c r="U1884" s="182"/>
    </row>
    <row r="1885" spans="1:21" ht="14.5" x14ac:dyDescent="0.4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82"/>
      <c r="U1885" s="182"/>
    </row>
    <row r="1886" spans="1:21" ht="14.5" x14ac:dyDescent="0.4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82"/>
      <c r="U1886" s="182"/>
    </row>
    <row r="1887" spans="1:21" ht="14.5" x14ac:dyDescent="0.4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82"/>
      <c r="U1887" s="182"/>
    </row>
    <row r="1888" spans="1:21" ht="14.5" x14ac:dyDescent="0.4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82"/>
      <c r="U1888" s="182"/>
    </row>
    <row r="1889" spans="1:21" ht="14.5" x14ac:dyDescent="0.4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82"/>
      <c r="U1889" s="182"/>
    </row>
    <row r="1890" spans="1:21" ht="14.5" x14ac:dyDescent="0.4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82"/>
      <c r="U1890" s="182"/>
    </row>
    <row r="1891" spans="1:21" ht="14.5" x14ac:dyDescent="0.4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82"/>
      <c r="U1891" s="182"/>
    </row>
    <row r="1892" spans="1:21" ht="14.5" x14ac:dyDescent="0.4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82"/>
      <c r="U1892" s="182"/>
    </row>
    <row r="1893" spans="1:21" ht="14.5" x14ac:dyDescent="0.4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82"/>
      <c r="U1893" s="182"/>
    </row>
    <row r="1894" spans="1:21" ht="14.5" x14ac:dyDescent="0.4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82"/>
      <c r="U1894" s="182"/>
    </row>
    <row r="1895" spans="1:21" ht="14.5" x14ac:dyDescent="0.4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82"/>
      <c r="U1895" s="182"/>
    </row>
    <row r="1896" spans="1:21" ht="14.5" x14ac:dyDescent="0.4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82"/>
      <c r="U1896" s="182"/>
    </row>
    <row r="1897" spans="1:21" ht="14.5" x14ac:dyDescent="0.4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82"/>
      <c r="U1897" s="182"/>
    </row>
    <row r="1898" spans="1:21" ht="14.5" x14ac:dyDescent="0.4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82"/>
      <c r="U1898" s="182"/>
    </row>
    <row r="1899" spans="1:21" ht="14.5" x14ac:dyDescent="0.4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82"/>
      <c r="U1899" s="182"/>
    </row>
    <row r="1900" spans="1:21" ht="14.5" x14ac:dyDescent="0.4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82"/>
      <c r="U1900" s="182"/>
    </row>
    <row r="1901" spans="1:21" ht="14.5" x14ac:dyDescent="0.4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82"/>
      <c r="U1901" s="182"/>
    </row>
    <row r="1902" spans="1:21" ht="14.5" x14ac:dyDescent="0.4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82"/>
      <c r="U1902" s="182"/>
    </row>
    <row r="1903" spans="1:21" ht="14.5" x14ac:dyDescent="0.4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82"/>
      <c r="U1903" s="182"/>
    </row>
    <row r="1904" spans="1:21" ht="14.5" x14ac:dyDescent="0.4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82"/>
      <c r="U1904" s="182"/>
    </row>
    <row r="1905" spans="1:21" ht="14.5" x14ac:dyDescent="0.4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82"/>
      <c r="U1905" s="182"/>
    </row>
    <row r="1906" spans="1:21" ht="14.5" x14ac:dyDescent="0.4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82"/>
      <c r="U1906" s="182"/>
    </row>
    <row r="1907" spans="1:21" ht="14.5" x14ac:dyDescent="0.4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82"/>
      <c r="U1907" s="182"/>
    </row>
    <row r="1908" spans="1:21" ht="14.5" x14ac:dyDescent="0.4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82"/>
      <c r="U1908" s="182"/>
    </row>
    <row r="1909" spans="1:21" ht="14.5" x14ac:dyDescent="0.4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82"/>
      <c r="U1909" s="182"/>
    </row>
    <row r="1910" spans="1:21" ht="14.5" x14ac:dyDescent="0.4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82"/>
      <c r="U1910" s="182"/>
    </row>
    <row r="1911" spans="1:21" ht="14.5" x14ac:dyDescent="0.4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82"/>
      <c r="U1911" s="182"/>
    </row>
    <row r="1912" spans="1:21" ht="14.5" x14ac:dyDescent="0.4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82"/>
      <c r="U1912" s="182"/>
    </row>
    <row r="1913" spans="1:21" ht="14.5" x14ac:dyDescent="0.4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82"/>
      <c r="U1913" s="182"/>
    </row>
    <row r="1914" spans="1:21" ht="14.5" x14ac:dyDescent="0.4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82"/>
      <c r="U1914" s="182"/>
    </row>
    <row r="1915" spans="1:21" ht="14.5" x14ac:dyDescent="0.4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82"/>
      <c r="U1915" s="182"/>
    </row>
    <row r="1916" spans="1:21" ht="14.5" x14ac:dyDescent="0.4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82"/>
      <c r="U1916" s="182"/>
    </row>
    <row r="1917" spans="1:21" ht="14.5" x14ac:dyDescent="0.4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82"/>
      <c r="U1917" s="182"/>
    </row>
    <row r="1918" spans="1:21" ht="14.5" x14ac:dyDescent="0.4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82"/>
      <c r="U1918" s="182"/>
    </row>
    <row r="1919" spans="1:21" ht="14.5" x14ac:dyDescent="0.4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82"/>
      <c r="U1919" s="182"/>
    </row>
    <row r="1920" spans="1:21" ht="14.5" x14ac:dyDescent="0.4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82"/>
      <c r="U1920" s="182"/>
    </row>
    <row r="1921" spans="1:21" ht="14.5" x14ac:dyDescent="0.4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82"/>
      <c r="U1921" s="182"/>
    </row>
    <row r="1922" spans="1:21" ht="14.5" x14ac:dyDescent="0.4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82"/>
      <c r="U1922" s="182"/>
    </row>
    <row r="1923" spans="1:21" ht="14.5" x14ac:dyDescent="0.4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82"/>
      <c r="U1923" s="182"/>
    </row>
    <row r="1924" spans="1:21" ht="14.5" x14ac:dyDescent="0.4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82"/>
      <c r="U1924" s="182"/>
    </row>
    <row r="1925" spans="1:21" ht="14.5" x14ac:dyDescent="0.4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82"/>
      <c r="U1925" s="182"/>
    </row>
    <row r="1926" spans="1:21" ht="14.5" x14ac:dyDescent="0.4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82"/>
      <c r="U1926" s="182"/>
    </row>
    <row r="1927" spans="1:21" ht="14.5" x14ac:dyDescent="0.4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82"/>
      <c r="U1927" s="182"/>
    </row>
    <row r="1928" spans="1:21" ht="14.5" x14ac:dyDescent="0.4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82"/>
      <c r="U1928" s="182"/>
    </row>
    <row r="1929" spans="1:21" ht="14.5" x14ac:dyDescent="0.4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82"/>
      <c r="U1929" s="182"/>
    </row>
    <row r="1930" spans="1:21" ht="14.5" x14ac:dyDescent="0.4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82"/>
      <c r="U1930" s="182"/>
    </row>
    <row r="1931" spans="1:21" ht="14.5" x14ac:dyDescent="0.4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82"/>
      <c r="U1931" s="182"/>
    </row>
    <row r="1932" spans="1:21" ht="14.5" x14ac:dyDescent="0.4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82"/>
      <c r="U1932" s="182"/>
    </row>
    <row r="1933" spans="1:21" ht="14.5" x14ac:dyDescent="0.4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82"/>
      <c r="U1933" s="182"/>
    </row>
    <row r="1934" spans="1:21" ht="14.5" x14ac:dyDescent="0.4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82"/>
      <c r="U1934" s="182"/>
    </row>
    <row r="1935" spans="1:21" ht="14.5" x14ac:dyDescent="0.4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82"/>
      <c r="U1935" s="182"/>
    </row>
    <row r="1936" spans="1:21" ht="14.5" x14ac:dyDescent="0.4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82"/>
      <c r="U1936" s="182"/>
    </row>
    <row r="1937" spans="1:21" ht="14.5" x14ac:dyDescent="0.4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82"/>
      <c r="U1937" s="182"/>
    </row>
    <row r="1938" spans="1:21" ht="14.5" x14ac:dyDescent="0.4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82"/>
      <c r="U1938" s="182"/>
    </row>
    <row r="1939" spans="1:21" ht="14.5" x14ac:dyDescent="0.4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82"/>
      <c r="U1939" s="182"/>
    </row>
    <row r="1940" spans="1:21" ht="14.5" x14ac:dyDescent="0.4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82"/>
      <c r="U1940" s="182"/>
    </row>
    <row r="1941" spans="1:21" ht="14.5" x14ac:dyDescent="0.4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82"/>
      <c r="U1941" s="182"/>
    </row>
    <row r="1942" spans="1:21" ht="14.5" x14ac:dyDescent="0.4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82"/>
      <c r="U1942" s="182"/>
    </row>
    <row r="1943" spans="1:21" ht="14.5" x14ac:dyDescent="0.4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82"/>
      <c r="U1943" s="182"/>
    </row>
    <row r="1944" spans="1:21" ht="14.5" x14ac:dyDescent="0.4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82"/>
      <c r="U1944" s="182"/>
    </row>
    <row r="1945" spans="1:21" ht="14.5" x14ac:dyDescent="0.4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82"/>
      <c r="U1945" s="182"/>
    </row>
    <row r="1946" spans="1:21" ht="14.5" x14ac:dyDescent="0.4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82"/>
      <c r="U1946" s="182"/>
    </row>
    <row r="1947" spans="1:21" ht="14.5" x14ac:dyDescent="0.4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82"/>
      <c r="U1947" s="182"/>
    </row>
    <row r="1948" spans="1:21" ht="14.5" x14ac:dyDescent="0.4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82"/>
      <c r="U1948" s="182"/>
    </row>
    <row r="1949" spans="1:21" ht="14.5" x14ac:dyDescent="0.4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82"/>
      <c r="U1949" s="182"/>
    </row>
    <row r="1950" spans="1:21" ht="14.5" x14ac:dyDescent="0.4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82"/>
      <c r="U1950" s="182"/>
    </row>
    <row r="1951" spans="1:21" ht="14.5" x14ac:dyDescent="0.4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82"/>
      <c r="U1951" s="182"/>
    </row>
    <row r="1952" spans="1:21" ht="14.5" x14ac:dyDescent="0.4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82"/>
      <c r="U1952" s="182"/>
    </row>
    <row r="1953" spans="1:21" ht="14.5" x14ac:dyDescent="0.4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82"/>
      <c r="U1953" s="182"/>
    </row>
    <row r="1954" spans="1:21" ht="14.5" x14ac:dyDescent="0.4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82"/>
      <c r="U1954" s="182"/>
    </row>
    <row r="1955" spans="1:21" ht="14.5" x14ac:dyDescent="0.4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82"/>
      <c r="U1955" s="182"/>
    </row>
    <row r="1956" spans="1:21" ht="14.5" x14ac:dyDescent="0.4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82"/>
      <c r="U1956" s="182"/>
    </row>
    <row r="1957" spans="1:21" ht="14.5" x14ac:dyDescent="0.4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82"/>
      <c r="U1957" s="182"/>
    </row>
    <row r="1958" spans="1:21" ht="14.5" x14ac:dyDescent="0.4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82"/>
      <c r="U1958" s="182"/>
    </row>
    <row r="1959" spans="1:21" ht="14.5" x14ac:dyDescent="0.4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82"/>
      <c r="U1959" s="182"/>
    </row>
    <row r="1960" spans="1:21" ht="14.5" x14ac:dyDescent="0.4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82"/>
      <c r="U1960" s="182"/>
    </row>
    <row r="1961" spans="1:21" ht="14.5" x14ac:dyDescent="0.4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82"/>
      <c r="U1961" s="182"/>
    </row>
    <row r="1962" spans="1:21" ht="14.5" x14ac:dyDescent="0.4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82"/>
      <c r="U1962" s="182"/>
    </row>
    <row r="1963" spans="1:21" ht="14.5" x14ac:dyDescent="0.4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82"/>
      <c r="U1963" s="182"/>
    </row>
    <row r="1964" spans="1:21" ht="14.5" x14ac:dyDescent="0.4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82"/>
      <c r="U1964" s="182"/>
    </row>
    <row r="1965" spans="1:21" ht="14.5" x14ac:dyDescent="0.4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82"/>
      <c r="U1965" s="182"/>
    </row>
    <row r="1966" spans="1:21" ht="14.5" x14ac:dyDescent="0.4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82"/>
      <c r="U1966" s="182"/>
    </row>
    <row r="1967" spans="1:21" ht="14.5" x14ac:dyDescent="0.4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82"/>
      <c r="U1967" s="182"/>
    </row>
    <row r="1968" spans="1:21" ht="14.5" x14ac:dyDescent="0.4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82"/>
      <c r="U1968" s="182"/>
    </row>
    <row r="1969" spans="1:21" ht="14.5" x14ac:dyDescent="0.4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82"/>
      <c r="U1969" s="182"/>
    </row>
    <row r="1970" spans="1:21" ht="14.5" x14ac:dyDescent="0.4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82"/>
      <c r="U1970" s="182"/>
    </row>
    <row r="1971" spans="1:21" ht="14.5" x14ac:dyDescent="0.4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82"/>
      <c r="U1971" s="182"/>
    </row>
    <row r="1972" spans="1:21" ht="14.5" x14ac:dyDescent="0.4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82"/>
      <c r="U1972" s="182"/>
    </row>
    <row r="1973" spans="1:21" ht="14.5" x14ac:dyDescent="0.4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82"/>
      <c r="U1973" s="182"/>
    </row>
    <row r="1974" spans="1:21" ht="14.5" x14ac:dyDescent="0.4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82"/>
      <c r="U1974" s="182"/>
    </row>
    <row r="1975" spans="1:21" ht="14.5" x14ac:dyDescent="0.4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82"/>
      <c r="U1975" s="182"/>
    </row>
    <row r="1976" spans="1:21" ht="14.5" x14ac:dyDescent="0.4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82"/>
      <c r="U1976" s="182"/>
    </row>
    <row r="1977" spans="1:21" ht="14.5" x14ac:dyDescent="0.4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82"/>
      <c r="U1977" s="182"/>
    </row>
    <row r="1978" spans="1:21" ht="14.5" x14ac:dyDescent="0.4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82"/>
      <c r="U1978" s="182"/>
    </row>
    <row r="1979" spans="1:21" ht="14.5" x14ac:dyDescent="0.4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82"/>
      <c r="U1979" s="182"/>
    </row>
    <row r="1980" spans="1:21" ht="14.5" x14ac:dyDescent="0.4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82"/>
      <c r="U1980" s="182"/>
    </row>
    <row r="1981" spans="1:21" ht="14.5" x14ac:dyDescent="0.4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82"/>
      <c r="U1981" s="182"/>
    </row>
    <row r="1982" spans="1:21" ht="14.5" x14ac:dyDescent="0.4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82"/>
      <c r="U1982" s="182"/>
    </row>
    <row r="1983" spans="1:21" ht="14.5" x14ac:dyDescent="0.4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82"/>
      <c r="U1983" s="182"/>
    </row>
    <row r="1984" spans="1:21" ht="14.5" x14ac:dyDescent="0.4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82"/>
      <c r="U1984" s="182"/>
    </row>
    <row r="1985" spans="1:21" ht="14.5" x14ac:dyDescent="0.4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82"/>
      <c r="U1985" s="182"/>
    </row>
    <row r="1986" spans="1:21" ht="14.5" x14ac:dyDescent="0.4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82"/>
      <c r="U1986" s="182"/>
    </row>
    <row r="1987" spans="1:21" ht="14.5" x14ac:dyDescent="0.4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82"/>
      <c r="U1987" s="182"/>
    </row>
    <row r="1988" spans="1:21" ht="14.5" x14ac:dyDescent="0.4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82"/>
      <c r="U1988" s="182"/>
    </row>
    <row r="1989" spans="1:21" ht="14.5" x14ac:dyDescent="0.4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82"/>
      <c r="U1989" s="182"/>
    </row>
    <row r="1990" spans="1:21" ht="14.5" x14ac:dyDescent="0.4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82"/>
      <c r="U1990" s="182"/>
    </row>
    <row r="1991" spans="1:21" ht="14.5" x14ac:dyDescent="0.4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82"/>
      <c r="U1991" s="182"/>
    </row>
    <row r="1992" spans="1:21" ht="14.5" x14ac:dyDescent="0.4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82"/>
      <c r="U1992" s="182"/>
    </row>
    <row r="1993" spans="1:21" ht="14.5" x14ac:dyDescent="0.4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82"/>
      <c r="U1993" s="182"/>
    </row>
    <row r="1994" spans="1:21" ht="14.5" x14ac:dyDescent="0.4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82"/>
      <c r="U1994" s="182"/>
    </row>
    <row r="1995" spans="1:21" ht="14.5" x14ac:dyDescent="0.4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82"/>
      <c r="U1995" s="182"/>
    </row>
    <row r="1996" spans="1:21" ht="14.5" x14ac:dyDescent="0.4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82"/>
      <c r="U1996" s="182"/>
    </row>
    <row r="1997" spans="1:21" ht="14.5" x14ac:dyDescent="0.4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82"/>
      <c r="U1997" s="182"/>
    </row>
    <row r="1998" spans="1:21" ht="14.5" x14ac:dyDescent="0.4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82"/>
      <c r="U1998" s="182"/>
    </row>
    <row r="1999" spans="1:21" ht="14.5" x14ac:dyDescent="0.4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82"/>
      <c r="U1999" s="182"/>
    </row>
    <row r="2000" spans="1:21" ht="14.5" x14ac:dyDescent="0.4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82"/>
      <c r="U2000" s="182"/>
    </row>
    <row r="2001" spans="1:21" ht="14.5" x14ac:dyDescent="0.4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82"/>
      <c r="U2001" s="182"/>
    </row>
    <row r="2002" spans="1:21" ht="14.5" x14ac:dyDescent="0.4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82"/>
      <c r="U2002" s="182"/>
    </row>
    <row r="2003" spans="1:21" ht="14.5" x14ac:dyDescent="0.4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82"/>
      <c r="U2003" s="182"/>
    </row>
    <row r="2004" spans="1:21" ht="14.5" x14ac:dyDescent="0.4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82"/>
      <c r="U2004" s="182"/>
    </row>
    <row r="2005" spans="1:21" ht="14.5" x14ac:dyDescent="0.4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82"/>
      <c r="U2005" s="182"/>
    </row>
    <row r="2006" spans="1:21" ht="14.5" x14ac:dyDescent="0.4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82"/>
      <c r="U2006" s="182"/>
    </row>
    <row r="2007" spans="1:21" ht="14.5" x14ac:dyDescent="0.4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82"/>
      <c r="U2007" s="182"/>
    </row>
    <row r="2008" spans="1:21" ht="14.5" x14ac:dyDescent="0.4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82"/>
      <c r="U2008" s="182"/>
    </row>
    <row r="2009" spans="1:21" ht="14.5" x14ac:dyDescent="0.4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82"/>
      <c r="U2009" s="182"/>
    </row>
    <row r="2010" spans="1:21" ht="14.5" x14ac:dyDescent="0.4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82"/>
      <c r="U2010" s="182"/>
    </row>
    <row r="2011" spans="1:21" ht="14.5" x14ac:dyDescent="0.4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82"/>
      <c r="U2011" s="182"/>
    </row>
    <row r="2012" spans="1:21" ht="14.5" x14ac:dyDescent="0.4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82"/>
      <c r="U2012" s="182"/>
    </row>
    <row r="2013" spans="1:21" ht="14.5" x14ac:dyDescent="0.4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82"/>
      <c r="U2013" s="182"/>
    </row>
    <row r="2014" spans="1:21" ht="14.5" x14ac:dyDescent="0.4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82"/>
      <c r="U2014" s="182"/>
    </row>
    <row r="2015" spans="1:21" ht="14.5" x14ac:dyDescent="0.4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82"/>
      <c r="U2015" s="182"/>
    </row>
    <row r="2016" spans="1:21" ht="14.5" x14ac:dyDescent="0.4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82"/>
      <c r="U2016" s="182"/>
    </row>
    <row r="2017" spans="1:21" ht="14.5" x14ac:dyDescent="0.4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82"/>
      <c r="U2017" s="182"/>
    </row>
    <row r="2018" spans="1:21" ht="14.5" x14ac:dyDescent="0.4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82"/>
      <c r="U2018" s="182"/>
    </row>
    <row r="2019" spans="1:21" ht="14.5" x14ac:dyDescent="0.4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82"/>
      <c r="U2019" s="182"/>
    </row>
    <row r="2020" spans="1:21" ht="14.5" x14ac:dyDescent="0.4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82"/>
      <c r="U2020" s="182"/>
    </row>
    <row r="2021" spans="1:21" ht="14.5" x14ac:dyDescent="0.4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82"/>
      <c r="U2021" s="182"/>
    </row>
    <row r="2022" spans="1:21" ht="14.5" x14ac:dyDescent="0.4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82"/>
      <c r="U2022" s="182"/>
    </row>
    <row r="2023" spans="1:21" ht="14.5" x14ac:dyDescent="0.4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82"/>
      <c r="U2023" s="182"/>
    </row>
    <row r="2024" spans="1:21" ht="14.5" x14ac:dyDescent="0.4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82"/>
      <c r="U2024" s="182"/>
    </row>
    <row r="2025" spans="1:21" ht="14.5" x14ac:dyDescent="0.4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82"/>
      <c r="U2025" s="182"/>
    </row>
    <row r="2026" spans="1:21" ht="14.5" x14ac:dyDescent="0.4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82"/>
      <c r="U2026" s="182"/>
    </row>
    <row r="2027" spans="1:21" ht="14.5" x14ac:dyDescent="0.4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82"/>
      <c r="U2027" s="182"/>
    </row>
    <row r="2028" spans="1:21" ht="14.5" x14ac:dyDescent="0.4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82"/>
      <c r="U2028" s="182"/>
    </row>
    <row r="2029" spans="1:21" ht="14.5" x14ac:dyDescent="0.4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82"/>
      <c r="U2029" s="182"/>
    </row>
    <row r="2030" spans="1:21" ht="14.5" x14ac:dyDescent="0.4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82"/>
      <c r="U2030" s="182"/>
    </row>
    <row r="2031" spans="1:21" ht="14.5" x14ac:dyDescent="0.4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82"/>
      <c r="U2031" s="182"/>
    </row>
    <row r="2032" spans="1:21" ht="14.5" x14ac:dyDescent="0.4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82"/>
      <c r="U2032" s="182"/>
    </row>
    <row r="2033" spans="1:21" ht="14.5" x14ac:dyDescent="0.4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82"/>
      <c r="U2033" s="182"/>
    </row>
    <row r="2034" spans="1:21" ht="14.5" x14ac:dyDescent="0.4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82"/>
      <c r="U2034" s="182"/>
    </row>
    <row r="2035" spans="1:21" ht="14.5" x14ac:dyDescent="0.4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82"/>
      <c r="U2035" s="182"/>
    </row>
    <row r="2036" spans="1:21" ht="14.5" x14ac:dyDescent="0.4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82"/>
      <c r="U2036" s="182"/>
    </row>
    <row r="2037" spans="1:21" ht="14.5" x14ac:dyDescent="0.4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82"/>
      <c r="U2037" s="182"/>
    </row>
    <row r="2038" spans="1:21" ht="14.5" x14ac:dyDescent="0.4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82"/>
      <c r="U2038" s="182"/>
    </row>
    <row r="2039" spans="1:21" ht="14.5" x14ac:dyDescent="0.4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82"/>
      <c r="U2039" s="182"/>
    </row>
    <row r="2040" spans="1:21" ht="14.5" x14ac:dyDescent="0.4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82"/>
      <c r="U2040" s="182"/>
    </row>
    <row r="2041" spans="1:21" ht="14.5" x14ac:dyDescent="0.4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82"/>
      <c r="U2041" s="182"/>
    </row>
    <row r="2042" spans="1:21" ht="14.5" x14ac:dyDescent="0.4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82"/>
      <c r="U2042" s="182"/>
    </row>
    <row r="2043" spans="1:21" ht="14.5" x14ac:dyDescent="0.4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82"/>
      <c r="U2043" s="182"/>
    </row>
    <row r="2044" spans="1:21" ht="14.5" x14ac:dyDescent="0.4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82"/>
      <c r="U2044" s="182"/>
    </row>
    <row r="2045" spans="1:21" ht="14.5" x14ac:dyDescent="0.4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82"/>
      <c r="U2045" s="182"/>
    </row>
    <row r="2046" spans="1:21" ht="14.5" x14ac:dyDescent="0.4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82"/>
      <c r="U2046" s="182"/>
    </row>
    <row r="2047" spans="1:21" ht="14.5" x14ac:dyDescent="0.4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82"/>
      <c r="U2047" s="182"/>
    </row>
    <row r="2048" spans="1:21" ht="14.5" x14ac:dyDescent="0.4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82"/>
      <c r="U2048" s="182"/>
    </row>
    <row r="2049" spans="1:21" ht="14.5" x14ac:dyDescent="0.4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82"/>
      <c r="U2049" s="182"/>
    </row>
    <row r="2050" spans="1:21" ht="14.5" x14ac:dyDescent="0.4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82"/>
      <c r="U2050" s="182"/>
    </row>
    <row r="2051" spans="1:21" ht="14.5" x14ac:dyDescent="0.4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82"/>
      <c r="U2051" s="182"/>
    </row>
    <row r="2052" spans="1:21" ht="14.5" x14ac:dyDescent="0.4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82"/>
      <c r="U2052" s="182"/>
    </row>
    <row r="2053" spans="1:21" ht="14.5" x14ac:dyDescent="0.4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82"/>
      <c r="U2053" s="182"/>
    </row>
    <row r="2054" spans="1:21" ht="14.5" x14ac:dyDescent="0.4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82"/>
      <c r="U2054" s="182"/>
    </row>
    <row r="2055" spans="1:21" ht="14.5" x14ac:dyDescent="0.4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82"/>
      <c r="U2055" s="182"/>
    </row>
    <row r="2056" spans="1:21" ht="14.5" x14ac:dyDescent="0.4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82"/>
      <c r="U2056" s="182"/>
    </row>
    <row r="2057" spans="1:21" ht="14.5" x14ac:dyDescent="0.4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82"/>
      <c r="U2057" s="182"/>
    </row>
    <row r="2058" spans="1:21" ht="14.5" x14ac:dyDescent="0.4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82"/>
      <c r="U2058" s="182"/>
    </row>
    <row r="2059" spans="1:21" ht="14.5" x14ac:dyDescent="0.4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82"/>
      <c r="U2059" s="182"/>
    </row>
    <row r="2060" spans="1:21" ht="14.5" x14ac:dyDescent="0.4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82"/>
      <c r="U2060" s="182"/>
    </row>
    <row r="2061" spans="1:21" ht="14.5" x14ac:dyDescent="0.4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82"/>
      <c r="U2061" s="182"/>
    </row>
    <row r="2062" spans="1:21" ht="14.5" x14ac:dyDescent="0.4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82"/>
      <c r="U2062" s="182"/>
    </row>
    <row r="2063" spans="1:21" ht="14.5" x14ac:dyDescent="0.4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82"/>
      <c r="U2063" s="182"/>
    </row>
    <row r="2064" spans="1:21" ht="14.5" x14ac:dyDescent="0.4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82"/>
      <c r="U2064" s="182"/>
    </row>
    <row r="2065" spans="1:21" ht="14.5" x14ac:dyDescent="0.4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82"/>
      <c r="U2065" s="182"/>
    </row>
    <row r="2066" spans="1:21" ht="14.5" x14ac:dyDescent="0.4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82"/>
      <c r="U2066" s="182"/>
    </row>
    <row r="2067" spans="1:21" ht="14.5" x14ac:dyDescent="0.4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82"/>
      <c r="U2067" s="182"/>
    </row>
    <row r="2068" spans="1:21" ht="14.5" x14ac:dyDescent="0.4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82"/>
      <c r="U2068" s="182"/>
    </row>
    <row r="2069" spans="1:21" ht="14.5" x14ac:dyDescent="0.4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82"/>
      <c r="U2069" s="182"/>
    </row>
    <row r="2070" spans="1:21" ht="14.5" x14ac:dyDescent="0.4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82"/>
      <c r="U2070" s="182"/>
    </row>
    <row r="2071" spans="1:21" ht="14.5" x14ac:dyDescent="0.4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82"/>
      <c r="U2071" s="182"/>
    </row>
    <row r="2072" spans="1:21" ht="14.5" x14ac:dyDescent="0.4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82"/>
      <c r="U2072" s="182"/>
    </row>
    <row r="2073" spans="1:21" ht="14.5" x14ac:dyDescent="0.4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82"/>
      <c r="U2073" s="182"/>
    </row>
    <row r="2074" spans="1:21" ht="14.5" x14ac:dyDescent="0.4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82"/>
      <c r="U2074" s="182"/>
    </row>
    <row r="2075" spans="1:21" ht="14.5" x14ac:dyDescent="0.4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82"/>
      <c r="U2075" s="182"/>
    </row>
    <row r="2076" spans="1:21" ht="14.5" x14ac:dyDescent="0.4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82"/>
      <c r="U2076" s="182"/>
    </row>
    <row r="2077" spans="1:21" ht="14.5" x14ac:dyDescent="0.4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82"/>
      <c r="U2077" s="182"/>
    </row>
    <row r="2078" spans="1:21" ht="14.5" x14ac:dyDescent="0.4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82"/>
      <c r="U2078" s="182"/>
    </row>
    <row r="2079" spans="1:21" ht="14.5" x14ac:dyDescent="0.4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82"/>
      <c r="U2079" s="182"/>
    </row>
    <row r="2080" spans="1:21" ht="14.5" x14ac:dyDescent="0.4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82"/>
      <c r="U2080" s="182"/>
    </row>
    <row r="2081" spans="1:21" ht="14.5" x14ac:dyDescent="0.4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82"/>
      <c r="U2081" s="182"/>
    </row>
    <row r="2082" spans="1:21" ht="14.5" x14ac:dyDescent="0.4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82"/>
      <c r="U2082" s="182"/>
    </row>
    <row r="2083" spans="1:21" ht="14.5" x14ac:dyDescent="0.4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82"/>
      <c r="U2083" s="182"/>
    </row>
    <row r="2084" spans="1:21" ht="14.5" x14ac:dyDescent="0.4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82"/>
      <c r="U2084" s="182"/>
    </row>
    <row r="2085" spans="1:21" ht="14.5" x14ac:dyDescent="0.4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82"/>
      <c r="U2085" s="182"/>
    </row>
    <row r="2086" spans="1:21" ht="14.5" x14ac:dyDescent="0.4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82"/>
      <c r="U2086" s="182"/>
    </row>
    <row r="2087" spans="1:21" ht="14.5" x14ac:dyDescent="0.4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82"/>
      <c r="U2087" s="182"/>
    </row>
    <row r="2088" spans="1:21" ht="14.5" x14ac:dyDescent="0.4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82"/>
      <c r="U2088" s="182"/>
    </row>
    <row r="2089" spans="1:21" ht="14.5" x14ac:dyDescent="0.4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82"/>
      <c r="U2089" s="182"/>
    </row>
    <row r="2090" spans="1:21" ht="14.5" x14ac:dyDescent="0.4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82"/>
      <c r="U2090" s="182"/>
    </row>
    <row r="2091" spans="1:21" ht="14.5" x14ac:dyDescent="0.4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82"/>
      <c r="U2091" s="182"/>
    </row>
    <row r="2092" spans="1:21" ht="14.5" x14ac:dyDescent="0.4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82"/>
      <c r="U2092" s="182"/>
    </row>
    <row r="2093" spans="1:21" ht="14.5" x14ac:dyDescent="0.4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82"/>
      <c r="U2093" s="182"/>
    </row>
    <row r="2094" spans="1:21" ht="14.5" x14ac:dyDescent="0.4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82"/>
      <c r="U2094" s="182"/>
    </row>
    <row r="2095" spans="1:21" ht="14.5" x14ac:dyDescent="0.4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82"/>
      <c r="U2095" s="182"/>
    </row>
    <row r="2096" spans="1:21" ht="14.5" x14ac:dyDescent="0.4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82"/>
      <c r="U2096" s="182"/>
    </row>
    <row r="2097" spans="1:21" ht="14.5" x14ac:dyDescent="0.4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82"/>
      <c r="U2097" s="182"/>
    </row>
    <row r="2098" spans="1:21" ht="14.5" x14ac:dyDescent="0.4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82"/>
      <c r="U2098" s="182"/>
    </row>
    <row r="2099" spans="1:21" ht="14.5" x14ac:dyDescent="0.4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82"/>
      <c r="U2099" s="182"/>
    </row>
    <row r="2100" spans="1:21" ht="14.5" x14ac:dyDescent="0.4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82"/>
      <c r="U2100" s="182"/>
    </row>
    <row r="2101" spans="1:21" ht="14.5" x14ac:dyDescent="0.4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82"/>
      <c r="U2101" s="182"/>
    </row>
    <row r="2102" spans="1:21" ht="14.5" x14ac:dyDescent="0.4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82"/>
      <c r="U2102" s="182"/>
    </row>
    <row r="2103" spans="1:21" ht="14.5" x14ac:dyDescent="0.4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82"/>
      <c r="U2103" s="182"/>
    </row>
    <row r="2104" spans="1:21" ht="14.5" x14ac:dyDescent="0.4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82"/>
      <c r="U2104" s="182"/>
    </row>
    <row r="2105" spans="1:21" ht="14.5" x14ac:dyDescent="0.4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82"/>
      <c r="U2105" s="182"/>
    </row>
    <row r="2106" spans="1:21" ht="14.5" x14ac:dyDescent="0.4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82"/>
      <c r="U2106" s="182"/>
    </row>
    <row r="2107" spans="1:21" ht="14.5" x14ac:dyDescent="0.4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82"/>
      <c r="U2107" s="182"/>
    </row>
    <row r="2108" spans="1:21" ht="14.5" x14ac:dyDescent="0.4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82"/>
      <c r="U2108" s="182"/>
    </row>
    <row r="2109" spans="1:21" ht="14.5" x14ac:dyDescent="0.4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82"/>
      <c r="U2109" s="182"/>
    </row>
    <row r="2110" spans="1:21" ht="14.5" x14ac:dyDescent="0.4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82"/>
      <c r="U2110" s="182"/>
    </row>
    <row r="2111" spans="1:21" ht="14.5" x14ac:dyDescent="0.4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82"/>
      <c r="U2111" s="182"/>
    </row>
    <row r="2112" spans="1:21" ht="14.5" x14ac:dyDescent="0.4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82"/>
      <c r="U2112" s="182"/>
    </row>
    <row r="2113" spans="1:21" ht="14.5" x14ac:dyDescent="0.4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82"/>
      <c r="U2113" s="182"/>
    </row>
    <row r="2114" spans="1:21" ht="14.5" x14ac:dyDescent="0.4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82"/>
      <c r="U2114" s="182"/>
    </row>
    <row r="2115" spans="1:21" ht="14.5" x14ac:dyDescent="0.4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82"/>
      <c r="U2115" s="182"/>
    </row>
    <row r="2116" spans="1:21" ht="14.5" x14ac:dyDescent="0.4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82"/>
      <c r="U2116" s="182"/>
    </row>
    <row r="2117" spans="1:21" ht="14.5" x14ac:dyDescent="0.4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82"/>
      <c r="U2117" s="182"/>
    </row>
    <row r="2118" spans="1:21" ht="14.5" x14ac:dyDescent="0.4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82"/>
      <c r="U2118" s="182"/>
    </row>
    <row r="2119" spans="1:21" ht="14.5" x14ac:dyDescent="0.4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82"/>
      <c r="U2119" s="182"/>
    </row>
    <row r="2120" spans="1:21" ht="14.5" x14ac:dyDescent="0.4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82"/>
      <c r="U2120" s="182"/>
    </row>
    <row r="2121" spans="1:21" ht="14.5" x14ac:dyDescent="0.4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82"/>
      <c r="U2121" s="182"/>
    </row>
    <row r="2122" spans="1:21" ht="14.5" x14ac:dyDescent="0.4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82"/>
      <c r="U2122" s="182"/>
    </row>
    <row r="2123" spans="1:21" ht="14.5" x14ac:dyDescent="0.4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82"/>
      <c r="U2123" s="182"/>
    </row>
    <row r="2124" spans="1:21" ht="14.5" x14ac:dyDescent="0.4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82"/>
      <c r="U2124" s="182"/>
    </row>
    <row r="2125" spans="1:21" ht="14.5" x14ac:dyDescent="0.4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82"/>
      <c r="U2125" s="182"/>
    </row>
    <row r="2126" spans="1:21" ht="14.5" x14ac:dyDescent="0.4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82"/>
      <c r="U2126" s="182"/>
    </row>
    <row r="2127" spans="1:21" ht="14.5" x14ac:dyDescent="0.4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82"/>
      <c r="U2127" s="182"/>
    </row>
    <row r="2128" spans="1:21" ht="14.5" x14ac:dyDescent="0.4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82"/>
      <c r="U2128" s="182"/>
    </row>
    <row r="2129" spans="1:21" ht="14.5" x14ac:dyDescent="0.4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82"/>
      <c r="U2129" s="182"/>
    </row>
    <row r="2130" spans="1:21" ht="14.5" x14ac:dyDescent="0.4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82"/>
      <c r="U2130" s="182"/>
    </row>
    <row r="2131" spans="1:21" ht="14.5" x14ac:dyDescent="0.4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82"/>
      <c r="U2131" s="182"/>
    </row>
    <row r="2132" spans="1:21" ht="14.5" x14ac:dyDescent="0.4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82"/>
      <c r="U2132" s="182"/>
    </row>
    <row r="2133" spans="1:21" ht="14.5" x14ac:dyDescent="0.4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82"/>
      <c r="U2133" s="182"/>
    </row>
    <row r="2134" spans="1:21" ht="14.5" x14ac:dyDescent="0.4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82"/>
      <c r="U2134" s="182"/>
    </row>
    <row r="2135" spans="1:21" ht="14.5" x14ac:dyDescent="0.4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82"/>
      <c r="U2135" s="182"/>
    </row>
    <row r="2136" spans="1:21" ht="14.5" x14ac:dyDescent="0.4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82"/>
      <c r="U2136" s="182"/>
    </row>
    <row r="2137" spans="1:21" ht="14.5" x14ac:dyDescent="0.4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82"/>
      <c r="U2137" s="182"/>
    </row>
    <row r="2138" spans="1:21" ht="14.5" x14ac:dyDescent="0.4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82"/>
      <c r="U2138" s="182"/>
    </row>
    <row r="2139" spans="1:21" ht="14.5" x14ac:dyDescent="0.4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82"/>
      <c r="U2139" s="182"/>
    </row>
    <row r="2140" spans="1:21" ht="14.5" x14ac:dyDescent="0.4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82"/>
      <c r="U2140" s="182"/>
    </row>
    <row r="2141" spans="1:21" ht="14.5" x14ac:dyDescent="0.4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82"/>
      <c r="U2141" s="182"/>
    </row>
    <row r="2142" spans="1:21" ht="14.5" x14ac:dyDescent="0.4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82"/>
      <c r="U2142" s="182"/>
    </row>
    <row r="2143" spans="1:21" ht="14.5" x14ac:dyDescent="0.4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82"/>
      <c r="U2143" s="182"/>
    </row>
    <row r="2144" spans="1:21" ht="14.5" x14ac:dyDescent="0.4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82"/>
      <c r="U2144" s="182"/>
    </row>
    <row r="2145" spans="1:21" ht="14.5" x14ac:dyDescent="0.4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82"/>
      <c r="U2145" s="182"/>
    </row>
    <row r="2146" spans="1:21" ht="14.5" x14ac:dyDescent="0.4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82"/>
      <c r="U2146" s="182"/>
    </row>
    <row r="2147" spans="1:21" ht="14.5" x14ac:dyDescent="0.4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82"/>
      <c r="U2147" s="182"/>
    </row>
    <row r="2148" spans="1:21" ht="14.5" x14ac:dyDescent="0.4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82"/>
      <c r="U2148" s="182"/>
    </row>
    <row r="2149" spans="1:21" ht="14.5" x14ac:dyDescent="0.4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82"/>
      <c r="U2149" s="182"/>
    </row>
    <row r="2150" spans="1:21" ht="14.5" x14ac:dyDescent="0.4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82"/>
      <c r="U2150" s="182"/>
    </row>
    <row r="2151" spans="1:21" ht="14.5" x14ac:dyDescent="0.4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82"/>
      <c r="U2151" s="182"/>
    </row>
    <row r="2152" spans="1:21" ht="14.5" x14ac:dyDescent="0.4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82"/>
      <c r="U2152" s="182"/>
    </row>
    <row r="2153" spans="1:21" ht="14.5" x14ac:dyDescent="0.4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82"/>
      <c r="U2153" s="182"/>
    </row>
    <row r="2154" spans="1:21" ht="14.5" x14ac:dyDescent="0.4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82"/>
      <c r="U2154" s="182"/>
    </row>
    <row r="2155" spans="1:21" ht="14.5" x14ac:dyDescent="0.4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82"/>
      <c r="U2155" s="182"/>
    </row>
    <row r="2156" spans="1:21" ht="14.5" x14ac:dyDescent="0.4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82"/>
      <c r="U2156" s="182"/>
    </row>
    <row r="2157" spans="1:21" ht="14.5" x14ac:dyDescent="0.4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82"/>
      <c r="U2157" s="182"/>
    </row>
    <row r="2158" spans="1:21" ht="14.5" x14ac:dyDescent="0.4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82"/>
      <c r="U2158" s="182"/>
    </row>
    <row r="2159" spans="1:21" ht="14.5" x14ac:dyDescent="0.4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82"/>
      <c r="U2159" s="182"/>
    </row>
    <row r="2160" spans="1:21" ht="14.5" x14ac:dyDescent="0.4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82"/>
      <c r="U2160" s="182"/>
    </row>
    <row r="2161" spans="1:21" ht="14.5" x14ac:dyDescent="0.4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82"/>
      <c r="U2161" s="182"/>
    </row>
    <row r="2162" spans="1:21" ht="14.5" x14ac:dyDescent="0.4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82"/>
      <c r="U2162" s="182"/>
    </row>
    <row r="2163" spans="1:21" ht="14.5" x14ac:dyDescent="0.4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82"/>
      <c r="U2163" s="182"/>
    </row>
    <row r="2164" spans="1:21" ht="14.5" x14ac:dyDescent="0.4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82"/>
      <c r="U2164" s="182"/>
    </row>
    <row r="2165" spans="1:21" ht="14.5" x14ac:dyDescent="0.4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82"/>
      <c r="U2165" s="182"/>
    </row>
    <row r="2166" spans="1:21" ht="14.5" x14ac:dyDescent="0.4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82"/>
      <c r="U2166" s="182"/>
    </row>
    <row r="2167" spans="1:21" ht="14.5" x14ac:dyDescent="0.4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82"/>
      <c r="U2167" s="182"/>
    </row>
    <row r="2168" spans="1:21" ht="14.5" x14ac:dyDescent="0.4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82"/>
      <c r="U2168" s="182"/>
    </row>
    <row r="2169" spans="1:21" ht="14.5" x14ac:dyDescent="0.4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82"/>
      <c r="U2169" s="182"/>
    </row>
    <row r="2170" spans="1:21" ht="14.5" x14ac:dyDescent="0.4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82"/>
      <c r="U2170" s="182"/>
    </row>
    <row r="2171" spans="1:21" ht="14.5" x14ac:dyDescent="0.4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82"/>
      <c r="U2171" s="182"/>
    </row>
    <row r="2172" spans="1:21" ht="14.5" x14ac:dyDescent="0.4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82"/>
      <c r="U2172" s="182"/>
    </row>
    <row r="2173" spans="1:21" ht="14.5" x14ac:dyDescent="0.4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82"/>
      <c r="U2173" s="182"/>
    </row>
    <row r="2174" spans="1:21" ht="14.5" x14ac:dyDescent="0.4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82"/>
      <c r="U2174" s="182"/>
    </row>
    <row r="2175" spans="1:21" ht="14.5" x14ac:dyDescent="0.4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82"/>
      <c r="U2175" s="182"/>
    </row>
    <row r="2176" spans="1:21" ht="14.5" x14ac:dyDescent="0.4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82"/>
      <c r="U2176" s="182"/>
    </row>
    <row r="2177" spans="1:21" ht="14.5" x14ac:dyDescent="0.4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82"/>
      <c r="U2177" s="182"/>
    </row>
    <row r="2178" spans="1:21" ht="14.5" x14ac:dyDescent="0.4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82"/>
      <c r="U2178" s="182"/>
    </row>
    <row r="2179" spans="1:21" ht="14.5" x14ac:dyDescent="0.4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82"/>
      <c r="U2179" s="182"/>
    </row>
    <row r="2180" spans="1:21" ht="14.5" x14ac:dyDescent="0.4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82"/>
      <c r="U2180" s="182"/>
    </row>
    <row r="2181" spans="1:21" ht="14.5" x14ac:dyDescent="0.4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82"/>
      <c r="U2181" s="182"/>
    </row>
    <row r="2182" spans="1:21" ht="14.5" x14ac:dyDescent="0.4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82"/>
      <c r="U2182" s="182"/>
    </row>
    <row r="2183" spans="1:21" ht="14.5" x14ac:dyDescent="0.4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82"/>
      <c r="U2183" s="182"/>
    </row>
    <row r="2184" spans="1:21" ht="14.5" x14ac:dyDescent="0.4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82"/>
      <c r="U2184" s="182"/>
    </row>
    <row r="2185" spans="1:21" ht="14.5" x14ac:dyDescent="0.4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82"/>
      <c r="U2185" s="182"/>
    </row>
    <row r="2186" spans="1:21" ht="14.5" x14ac:dyDescent="0.4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82"/>
      <c r="U2186" s="182"/>
    </row>
    <row r="2187" spans="1:21" ht="14.5" x14ac:dyDescent="0.4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82"/>
      <c r="U2187" s="182"/>
    </row>
    <row r="2188" spans="1:21" ht="14.5" x14ac:dyDescent="0.4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82"/>
      <c r="U2188" s="182"/>
    </row>
    <row r="2189" spans="1:21" ht="14.5" x14ac:dyDescent="0.4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82"/>
      <c r="U2189" s="182"/>
    </row>
    <row r="2190" spans="1:21" ht="14.5" x14ac:dyDescent="0.4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82"/>
      <c r="U2190" s="182"/>
    </row>
    <row r="2191" spans="1:21" ht="14.5" x14ac:dyDescent="0.4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82"/>
      <c r="U2191" s="182"/>
    </row>
    <row r="2192" spans="1:21" ht="14.5" x14ac:dyDescent="0.4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82"/>
      <c r="U2192" s="182"/>
    </row>
    <row r="2193" spans="1:21" ht="14.5" x14ac:dyDescent="0.4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82"/>
      <c r="U2193" s="182"/>
    </row>
    <row r="2194" spans="1:21" ht="14.5" x14ac:dyDescent="0.4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82"/>
      <c r="U2194" s="182"/>
    </row>
    <row r="2195" spans="1:21" ht="14.5" x14ac:dyDescent="0.4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82"/>
      <c r="U2195" s="182"/>
    </row>
    <row r="2196" spans="1:21" ht="14.5" x14ac:dyDescent="0.4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82"/>
      <c r="U2196" s="182"/>
    </row>
    <row r="2197" spans="1:21" ht="14.5" x14ac:dyDescent="0.4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82"/>
      <c r="U2197" s="182"/>
    </row>
    <row r="2198" spans="1:21" ht="14.5" x14ac:dyDescent="0.4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82"/>
      <c r="U2198" s="182"/>
    </row>
    <row r="2199" spans="1:21" ht="14.5" x14ac:dyDescent="0.4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82"/>
      <c r="U2199" s="182"/>
    </row>
    <row r="2200" spans="1:21" ht="14.5" x14ac:dyDescent="0.4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82"/>
      <c r="U2200" s="182"/>
    </row>
    <row r="2201" spans="1:21" ht="14.5" x14ac:dyDescent="0.4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82"/>
      <c r="U2201" s="182"/>
    </row>
    <row r="2202" spans="1:21" ht="14.5" x14ac:dyDescent="0.4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82"/>
      <c r="U2202" s="182"/>
    </row>
    <row r="2203" spans="1:21" ht="14.5" x14ac:dyDescent="0.4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82"/>
      <c r="U2203" s="182"/>
    </row>
    <row r="2204" spans="1:21" ht="14.5" x14ac:dyDescent="0.4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82"/>
      <c r="U2204" s="182"/>
    </row>
    <row r="2205" spans="1:21" ht="14.5" x14ac:dyDescent="0.4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82"/>
      <c r="U2205" s="182"/>
    </row>
    <row r="2206" spans="1:21" ht="14.5" x14ac:dyDescent="0.4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82"/>
      <c r="U2206" s="182"/>
    </row>
    <row r="2207" spans="1:21" ht="14.5" x14ac:dyDescent="0.4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82"/>
      <c r="U2207" s="182"/>
    </row>
    <row r="2208" spans="1:21" ht="14.5" x14ac:dyDescent="0.4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82"/>
      <c r="U2208" s="182"/>
    </row>
    <row r="2209" spans="1:21" ht="14.5" x14ac:dyDescent="0.4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82"/>
      <c r="U2209" s="182"/>
    </row>
    <row r="2210" spans="1:21" ht="14.5" x14ac:dyDescent="0.4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82"/>
      <c r="U2210" s="182"/>
    </row>
    <row r="2211" spans="1:21" ht="14.5" x14ac:dyDescent="0.4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82"/>
      <c r="U2211" s="182"/>
    </row>
    <row r="2212" spans="1:21" ht="14.5" x14ac:dyDescent="0.4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82"/>
      <c r="U2212" s="182"/>
    </row>
    <row r="2213" spans="1:21" ht="14.5" x14ac:dyDescent="0.4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82"/>
      <c r="U2213" s="182"/>
    </row>
    <row r="2214" spans="1:21" ht="14.5" x14ac:dyDescent="0.4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82"/>
      <c r="U2214" s="182"/>
    </row>
    <row r="2215" spans="1:21" ht="14.5" x14ac:dyDescent="0.4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82"/>
      <c r="U2215" s="182"/>
    </row>
    <row r="2216" spans="1:21" ht="14.5" x14ac:dyDescent="0.4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82"/>
      <c r="U2216" s="182"/>
    </row>
    <row r="2217" spans="1:21" ht="14.5" x14ac:dyDescent="0.4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82"/>
      <c r="U2217" s="182"/>
    </row>
    <row r="2218" spans="1:21" ht="14.5" x14ac:dyDescent="0.4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82"/>
      <c r="U2218" s="182"/>
    </row>
    <row r="2219" spans="1:21" ht="14.5" x14ac:dyDescent="0.4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82"/>
      <c r="U2219" s="182"/>
    </row>
    <row r="2220" spans="1:21" ht="14.5" x14ac:dyDescent="0.4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82"/>
      <c r="U2220" s="182"/>
    </row>
    <row r="2221" spans="1:21" ht="14.5" x14ac:dyDescent="0.4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82"/>
      <c r="U2221" s="182"/>
    </row>
    <row r="2222" spans="1:21" ht="14.5" x14ac:dyDescent="0.4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82"/>
      <c r="U2222" s="182"/>
    </row>
    <row r="2223" spans="1:21" ht="14.5" x14ac:dyDescent="0.4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82"/>
      <c r="U2223" s="182"/>
    </row>
    <row r="2224" spans="1:21" ht="14.5" x14ac:dyDescent="0.4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82"/>
      <c r="U2224" s="182"/>
    </row>
    <row r="2225" spans="1:21" ht="14.5" x14ac:dyDescent="0.4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82"/>
      <c r="U2225" s="182"/>
    </row>
    <row r="2226" spans="1:21" ht="14.5" x14ac:dyDescent="0.4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82"/>
      <c r="U2226" s="182"/>
    </row>
    <row r="2227" spans="1:21" ht="14.5" x14ac:dyDescent="0.4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82"/>
      <c r="U2227" s="182"/>
    </row>
    <row r="2228" spans="1:21" ht="14.5" x14ac:dyDescent="0.4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82"/>
      <c r="U2228" s="182"/>
    </row>
    <row r="2229" spans="1:21" ht="14.5" x14ac:dyDescent="0.4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82"/>
      <c r="U2229" s="182"/>
    </row>
    <row r="2230" spans="1:21" ht="14.5" x14ac:dyDescent="0.4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82"/>
      <c r="U2230" s="182"/>
    </row>
    <row r="2231" spans="1:21" ht="14.5" x14ac:dyDescent="0.4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82"/>
      <c r="U2231" s="182"/>
    </row>
    <row r="2232" spans="1:21" ht="14.5" x14ac:dyDescent="0.4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82"/>
      <c r="U2232" s="182"/>
    </row>
    <row r="2233" spans="1:21" ht="14.5" x14ac:dyDescent="0.4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82"/>
      <c r="U2233" s="182"/>
    </row>
    <row r="2234" spans="1:21" ht="14.5" x14ac:dyDescent="0.4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82"/>
      <c r="U2234" s="182"/>
    </row>
    <row r="2235" spans="1:21" ht="14.5" x14ac:dyDescent="0.4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82"/>
      <c r="U2235" s="182"/>
    </row>
    <row r="2236" spans="1:21" ht="14.5" x14ac:dyDescent="0.4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82"/>
      <c r="U2236" s="182"/>
    </row>
    <row r="2237" spans="1:21" ht="14.5" x14ac:dyDescent="0.4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82"/>
      <c r="U2237" s="182"/>
    </row>
    <row r="2238" spans="1:21" ht="14.5" x14ac:dyDescent="0.4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82"/>
      <c r="U2238" s="182"/>
    </row>
    <row r="2239" spans="1:21" ht="14.5" x14ac:dyDescent="0.4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82"/>
      <c r="U2239" s="182"/>
    </row>
    <row r="2240" spans="1:21" ht="14.5" x14ac:dyDescent="0.4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82"/>
      <c r="U2240" s="182"/>
    </row>
    <row r="2241" spans="1:21" ht="14.5" x14ac:dyDescent="0.4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82"/>
      <c r="U2241" s="182"/>
    </row>
    <row r="2242" spans="1:21" ht="14.5" x14ac:dyDescent="0.4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82"/>
      <c r="U2242" s="182"/>
    </row>
    <row r="2243" spans="1:21" ht="14.5" x14ac:dyDescent="0.4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82"/>
      <c r="U2243" s="182"/>
    </row>
    <row r="2244" spans="1:21" ht="14.5" x14ac:dyDescent="0.4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82"/>
      <c r="U2244" s="182"/>
    </row>
    <row r="2245" spans="1:21" ht="14.5" x14ac:dyDescent="0.4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82"/>
      <c r="U2245" s="182"/>
    </row>
    <row r="2246" spans="1:21" ht="14.5" x14ac:dyDescent="0.4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82"/>
      <c r="U2246" s="182"/>
    </row>
    <row r="2247" spans="1:21" ht="14.5" x14ac:dyDescent="0.4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82"/>
      <c r="U2247" s="182"/>
    </row>
    <row r="2248" spans="1:21" ht="14.5" x14ac:dyDescent="0.4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82"/>
      <c r="U2248" s="182"/>
    </row>
    <row r="2249" spans="1:21" ht="14.5" x14ac:dyDescent="0.4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82"/>
      <c r="U2249" s="182"/>
    </row>
    <row r="2250" spans="1:21" ht="14.5" x14ac:dyDescent="0.4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82"/>
      <c r="U2250" s="182"/>
    </row>
    <row r="2251" spans="1:21" ht="14.5" x14ac:dyDescent="0.4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82"/>
      <c r="U2251" s="182"/>
    </row>
    <row r="2252" spans="1:21" ht="14.5" x14ac:dyDescent="0.4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82"/>
      <c r="U2252" s="182"/>
    </row>
    <row r="2253" spans="1:21" ht="14.5" x14ac:dyDescent="0.4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82"/>
      <c r="U2253" s="182"/>
    </row>
    <row r="2254" spans="1:21" ht="14.5" x14ac:dyDescent="0.4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82"/>
      <c r="U2254" s="182"/>
    </row>
    <row r="2255" spans="1:21" ht="14.5" x14ac:dyDescent="0.4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82"/>
      <c r="U2255" s="182"/>
    </row>
    <row r="2256" spans="1:21" ht="14.5" x14ac:dyDescent="0.4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82"/>
      <c r="U2256" s="182"/>
    </row>
    <row r="2257" spans="1:21" ht="14.5" x14ac:dyDescent="0.4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82"/>
      <c r="U2257" s="182"/>
    </row>
    <row r="2258" spans="1:21" ht="14.5" x14ac:dyDescent="0.4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82"/>
      <c r="U2258" s="182"/>
    </row>
    <row r="2259" spans="1:21" ht="14.5" x14ac:dyDescent="0.4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82"/>
      <c r="U2259" s="182"/>
    </row>
    <row r="2260" spans="1:21" ht="14.5" x14ac:dyDescent="0.4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82"/>
      <c r="U2260" s="182"/>
    </row>
    <row r="2261" spans="1:21" ht="14.5" x14ac:dyDescent="0.4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82"/>
      <c r="U2261" s="182"/>
    </row>
    <row r="2262" spans="1:21" ht="14.5" x14ac:dyDescent="0.4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82"/>
      <c r="U2262" s="182"/>
    </row>
    <row r="2263" spans="1:21" ht="14.5" x14ac:dyDescent="0.4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82"/>
      <c r="U2263" s="182"/>
    </row>
    <row r="2264" spans="1:21" ht="14.5" x14ac:dyDescent="0.4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82"/>
      <c r="U2264" s="182"/>
    </row>
    <row r="2265" spans="1:21" ht="14.5" x14ac:dyDescent="0.4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82"/>
      <c r="U2265" s="182"/>
    </row>
    <row r="2266" spans="1:21" ht="14.5" x14ac:dyDescent="0.4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82"/>
      <c r="U2266" s="182"/>
    </row>
    <row r="2267" spans="1:21" ht="14.5" x14ac:dyDescent="0.4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82"/>
      <c r="U2267" s="182"/>
    </row>
    <row r="2268" spans="1:21" ht="14.5" x14ac:dyDescent="0.4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82"/>
      <c r="U2268" s="182"/>
    </row>
    <row r="2269" spans="1:21" ht="14.5" x14ac:dyDescent="0.4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82"/>
      <c r="U2269" s="182"/>
    </row>
    <row r="2270" spans="1:21" ht="14.5" x14ac:dyDescent="0.4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82"/>
      <c r="U2270" s="182"/>
    </row>
    <row r="2271" spans="1:21" ht="14.5" x14ac:dyDescent="0.4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82"/>
      <c r="U2271" s="182"/>
    </row>
    <row r="2272" spans="1:21" ht="14.5" x14ac:dyDescent="0.4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82"/>
      <c r="U2272" s="182"/>
    </row>
    <row r="2273" spans="1:21" ht="14.5" x14ac:dyDescent="0.4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82"/>
      <c r="U2273" s="182"/>
    </row>
    <row r="2274" spans="1:21" ht="14.5" x14ac:dyDescent="0.4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82"/>
      <c r="U2274" s="182"/>
    </row>
    <row r="2275" spans="1:21" ht="14.5" x14ac:dyDescent="0.4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82"/>
      <c r="U2275" s="182"/>
    </row>
    <row r="2276" spans="1:21" ht="14.5" x14ac:dyDescent="0.4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82"/>
      <c r="U2276" s="182"/>
    </row>
    <row r="2277" spans="1:21" ht="14.5" x14ac:dyDescent="0.4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82"/>
      <c r="U2277" s="182"/>
    </row>
    <row r="2278" spans="1:21" ht="14.5" x14ac:dyDescent="0.4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82"/>
      <c r="U2278" s="182"/>
    </row>
    <row r="2279" spans="1:21" ht="14.5" x14ac:dyDescent="0.4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82"/>
      <c r="U2279" s="182"/>
    </row>
    <row r="2280" spans="1:21" ht="14.5" x14ac:dyDescent="0.4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82"/>
      <c r="U2280" s="182"/>
    </row>
    <row r="2281" spans="1:21" ht="14.5" x14ac:dyDescent="0.4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82"/>
      <c r="U2281" s="182"/>
    </row>
    <row r="2282" spans="1:21" ht="14.5" x14ac:dyDescent="0.4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82"/>
      <c r="U2282" s="182"/>
    </row>
    <row r="2283" spans="1:21" ht="14.5" x14ac:dyDescent="0.4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82"/>
      <c r="U2283" s="182"/>
    </row>
    <row r="2284" spans="1:21" ht="14.5" x14ac:dyDescent="0.4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82"/>
      <c r="U2284" s="182"/>
    </row>
    <row r="2285" spans="1:21" ht="14.5" x14ac:dyDescent="0.4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82"/>
      <c r="U2285" s="182"/>
    </row>
    <row r="2286" spans="1:21" ht="14.5" x14ac:dyDescent="0.4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82"/>
      <c r="U2286" s="182"/>
    </row>
    <row r="2287" spans="1:21" ht="14.5" x14ac:dyDescent="0.4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82"/>
      <c r="U2287" s="182"/>
    </row>
    <row r="2288" spans="1:21" ht="14.5" x14ac:dyDescent="0.4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82"/>
      <c r="U2288" s="182"/>
    </row>
    <row r="2289" spans="1:21" ht="14.5" x14ac:dyDescent="0.4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82"/>
      <c r="U2289" s="182"/>
    </row>
    <row r="2290" spans="1:21" ht="14.5" x14ac:dyDescent="0.4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82"/>
      <c r="U2290" s="182"/>
    </row>
    <row r="2291" spans="1:21" ht="14.5" x14ac:dyDescent="0.4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82"/>
      <c r="U2291" s="182"/>
    </row>
    <row r="2292" spans="1:21" ht="14.5" x14ac:dyDescent="0.4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82"/>
      <c r="U2292" s="182"/>
    </row>
    <row r="2293" spans="1:21" ht="14.5" x14ac:dyDescent="0.4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82"/>
      <c r="U2293" s="182"/>
    </row>
    <row r="2294" spans="1:21" ht="14.5" x14ac:dyDescent="0.4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82"/>
      <c r="U2294" s="182"/>
    </row>
    <row r="2295" spans="1:21" ht="14.5" x14ac:dyDescent="0.4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82"/>
      <c r="U2295" s="182"/>
    </row>
    <row r="2296" spans="1:21" ht="14.5" x14ac:dyDescent="0.4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82"/>
      <c r="U2296" s="182"/>
    </row>
    <row r="2297" spans="1:21" ht="14.5" x14ac:dyDescent="0.4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82"/>
      <c r="U2297" s="182"/>
    </row>
    <row r="2298" spans="1:21" ht="14.5" x14ac:dyDescent="0.4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82"/>
      <c r="U2298" s="182"/>
    </row>
    <row r="2299" spans="1:21" ht="14.5" x14ac:dyDescent="0.4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82"/>
      <c r="U2299" s="182"/>
    </row>
    <row r="2300" spans="1:21" ht="14.5" x14ac:dyDescent="0.4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82"/>
      <c r="U2300" s="182"/>
    </row>
    <row r="2301" spans="1:21" ht="14.5" x14ac:dyDescent="0.4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82"/>
      <c r="U2301" s="182"/>
    </row>
    <row r="2302" spans="1:21" ht="14.5" x14ac:dyDescent="0.4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82"/>
      <c r="U2302" s="182"/>
    </row>
    <row r="2303" spans="1:21" ht="14.5" x14ac:dyDescent="0.4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82"/>
      <c r="U2303" s="182"/>
    </row>
    <row r="2304" spans="1:21" ht="14.5" x14ac:dyDescent="0.4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82"/>
      <c r="U2304" s="182"/>
    </row>
    <row r="2305" spans="1:21" ht="14.5" x14ac:dyDescent="0.4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82"/>
      <c r="U2305" s="182"/>
    </row>
    <row r="2306" spans="1:21" ht="14.5" x14ac:dyDescent="0.4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82"/>
      <c r="U2306" s="182"/>
    </row>
    <row r="2307" spans="1:21" ht="14.5" x14ac:dyDescent="0.4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82"/>
      <c r="U2307" s="182"/>
    </row>
    <row r="2308" spans="1:21" ht="14.5" x14ac:dyDescent="0.4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82"/>
      <c r="U2308" s="182"/>
    </row>
    <row r="2309" spans="1:21" ht="14.5" x14ac:dyDescent="0.4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82"/>
      <c r="U2309" s="182"/>
    </row>
    <row r="2310" spans="1:21" ht="14.5" x14ac:dyDescent="0.4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82"/>
      <c r="U2310" s="182"/>
    </row>
    <row r="2311" spans="1:21" ht="14.5" x14ac:dyDescent="0.4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82"/>
      <c r="U2311" s="182"/>
    </row>
    <row r="2312" spans="1:21" ht="14.5" x14ac:dyDescent="0.4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82"/>
      <c r="U2312" s="182"/>
    </row>
    <row r="2313" spans="1:21" ht="14.5" x14ac:dyDescent="0.4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82"/>
      <c r="U2313" s="182"/>
    </row>
    <row r="2314" spans="1:21" ht="14.5" x14ac:dyDescent="0.4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82"/>
      <c r="U2314" s="182"/>
    </row>
    <row r="2315" spans="1:21" ht="14.5" x14ac:dyDescent="0.4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82"/>
      <c r="U2315" s="182"/>
    </row>
    <row r="2316" spans="1:21" ht="14.5" x14ac:dyDescent="0.4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82"/>
      <c r="U2316" s="182"/>
    </row>
    <row r="2317" spans="1:21" ht="14.5" x14ac:dyDescent="0.4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82"/>
      <c r="U2317" s="182"/>
    </row>
    <row r="2318" spans="1:21" ht="14.5" x14ac:dyDescent="0.4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82"/>
      <c r="U2318" s="182"/>
    </row>
    <row r="2319" spans="1:21" ht="14.5" x14ac:dyDescent="0.4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82"/>
      <c r="U2319" s="182"/>
    </row>
    <row r="2320" spans="1:21" ht="14.5" x14ac:dyDescent="0.4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82"/>
      <c r="U2320" s="182"/>
    </row>
    <row r="2321" spans="1:21" ht="14.5" x14ac:dyDescent="0.4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82"/>
      <c r="U2321" s="182"/>
    </row>
    <row r="2322" spans="1:21" ht="14.5" x14ac:dyDescent="0.4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82"/>
      <c r="U2322" s="182"/>
    </row>
    <row r="2323" spans="1:21" ht="14.5" x14ac:dyDescent="0.4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82"/>
      <c r="U2323" s="182"/>
    </row>
    <row r="2324" spans="1:21" ht="14.5" x14ac:dyDescent="0.4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82"/>
      <c r="U2324" s="182"/>
    </row>
    <row r="2325" spans="1:21" ht="14.5" x14ac:dyDescent="0.4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82"/>
      <c r="U2325" s="182"/>
    </row>
    <row r="2326" spans="1:21" ht="14.5" x14ac:dyDescent="0.4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82"/>
      <c r="U2326" s="182"/>
    </row>
    <row r="2327" spans="1:21" ht="14.5" x14ac:dyDescent="0.4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82"/>
      <c r="U2327" s="182"/>
    </row>
    <row r="2328" spans="1:21" ht="14.5" x14ac:dyDescent="0.4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82"/>
      <c r="U2328" s="182"/>
    </row>
    <row r="2329" spans="1:21" ht="14.5" x14ac:dyDescent="0.4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82"/>
      <c r="U2329" s="182"/>
    </row>
    <row r="2330" spans="1:21" ht="14.5" x14ac:dyDescent="0.4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82"/>
      <c r="U2330" s="182"/>
    </row>
    <row r="2331" spans="1:21" ht="14.5" x14ac:dyDescent="0.4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82"/>
      <c r="U2331" s="182"/>
    </row>
    <row r="2332" spans="1:21" ht="14.5" x14ac:dyDescent="0.4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82"/>
      <c r="U2332" s="182"/>
    </row>
    <row r="2333" spans="1:21" ht="14.5" x14ac:dyDescent="0.4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82"/>
      <c r="U2333" s="182"/>
    </row>
    <row r="2334" spans="1:21" ht="14.5" x14ac:dyDescent="0.4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82"/>
      <c r="U2334" s="182"/>
    </row>
    <row r="2335" spans="1:21" ht="14.5" x14ac:dyDescent="0.4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82"/>
      <c r="U2335" s="182"/>
    </row>
    <row r="2336" spans="1:21" ht="14.5" x14ac:dyDescent="0.4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82"/>
      <c r="U2336" s="182"/>
    </row>
    <row r="2337" spans="1:21" ht="14.5" x14ac:dyDescent="0.4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82"/>
      <c r="U2337" s="182"/>
    </row>
    <row r="2338" spans="1:21" ht="14.5" x14ac:dyDescent="0.4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82"/>
      <c r="U2338" s="182"/>
    </row>
    <row r="2339" spans="1:21" ht="14.5" x14ac:dyDescent="0.4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82"/>
      <c r="U2339" s="182"/>
    </row>
    <row r="2340" spans="1:21" ht="14.5" x14ac:dyDescent="0.4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82"/>
      <c r="U2340" s="182"/>
    </row>
    <row r="2341" spans="1:21" ht="14.5" x14ac:dyDescent="0.4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82"/>
      <c r="U2341" s="182"/>
    </row>
    <row r="2342" spans="1:21" ht="14.5" x14ac:dyDescent="0.4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82"/>
      <c r="U2342" s="182"/>
    </row>
    <row r="2343" spans="1:21" ht="14.5" x14ac:dyDescent="0.4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82"/>
      <c r="U2343" s="182"/>
    </row>
    <row r="2344" spans="1:21" ht="14.5" x14ac:dyDescent="0.4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82"/>
      <c r="U2344" s="182"/>
    </row>
    <row r="2345" spans="1:21" ht="14.5" x14ac:dyDescent="0.4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82"/>
      <c r="U2345" s="182"/>
    </row>
    <row r="2346" spans="1:21" ht="14.5" x14ac:dyDescent="0.4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82"/>
      <c r="U2346" s="182"/>
    </row>
    <row r="2347" spans="1:21" ht="14.5" x14ac:dyDescent="0.4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82"/>
      <c r="U2347" s="182"/>
    </row>
    <row r="2348" spans="1:21" ht="14.5" x14ac:dyDescent="0.4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82"/>
      <c r="U2348" s="182"/>
    </row>
    <row r="2349" spans="1:21" ht="14.5" x14ac:dyDescent="0.4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82"/>
      <c r="U2349" s="182"/>
    </row>
    <row r="2350" spans="1:21" ht="14.5" x14ac:dyDescent="0.4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82"/>
      <c r="U2350" s="182"/>
    </row>
    <row r="2351" spans="1:21" ht="14.5" x14ac:dyDescent="0.4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82"/>
      <c r="U2351" s="182"/>
    </row>
    <row r="2352" spans="1:21" ht="14.5" x14ac:dyDescent="0.4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82"/>
      <c r="U2352" s="182"/>
    </row>
    <row r="2353" spans="1:21" ht="14.5" x14ac:dyDescent="0.4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82"/>
      <c r="U2353" s="182"/>
    </row>
    <row r="2354" spans="1:21" ht="14.5" x14ac:dyDescent="0.4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82"/>
      <c r="U2354" s="182"/>
    </row>
    <row r="2355" spans="1:21" ht="14.5" x14ac:dyDescent="0.4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82"/>
      <c r="U2355" s="182"/>
    </row>
    <row r="2356" spans="1:21" ht="14.5" x14ac:dyDescent="0.4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82"/>
      <c r="U2356" s="182"/>
    </row>
    <row r="2357" spans="1:21" ht="14.5" x14ac:dyDescent="0.4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82"/>
      <c r="U2357" s="182"/>
    </row>
    <row r="2358" spans="1:21" ht="14.5" x14ac:dyDescent="0.4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82"/>
      <c r="U2358" s="182"/>
    </row>
    <row r="2359" spans="1:21" ht="14.5" x14ac:dyDescent="0.4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82"/>
      <c r="U2359" s="182"/>
    </row>
    <row r="2360" spans="1:21" ht="14.5" x14ac:dyDescent="0.4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82"/>
      <c r="U2360" s="182"/>
    </row>
    <row r="2361" spans="1:21" ht="14.5" x14ac:dyDescent="0.4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82"/>
      <c r="U2361" s="182"/>
    </row>
    <row r="2362" spans="1:21" ht="14.5" x14ac:dyDescent="0.4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82"/>
      <c r="U2362" s="182"/>
    </row>
    <row r="2363" spans="1:21" ht="14.5" x14ac:dyDescent="0.4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82"/>
      <c r="U2363" s="182"/>
    </row>
    <row r="2364" spans="1:21" ht="14.5" x14ac:dyDescent="0.4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82"/>
      <c r="U2364" s="182"/>
    </row>
    <row r="2365" spans="1:21" ht="14.5" x14ac:dyDescent="0.4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82"/>
      <c r="U2365" s="182"/>
    </row>
    <row r="2366" spans="1:21" ht="14.5" x14ac:dyDescent="0.4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82"/>
      <c r="U2366" s="182"/>
    </row>
    <row r="2367" spans="1:21" ht="14.5" x14ac:dyDescent="0.4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82"/>
      <c r="U2367" s="182"/>
    </row>
    <row r="2368" spans="1:21" ht="14.5" x14ac:dyDescent="0.4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82"/>
      <c r="U2368" s="182"/>
    </row>
    <row r="2369" spans="1:21" ht="14.5" x14ac:dyDescent="0.4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82"/>
      <c r="U2369" s="182"/>
    </row>
    <row r="2370" spans="1:21" ht="14.5" x14ac:dyDescent="0.4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82"/>
      <c r="U2370" s="182"/>
    </row>
    <row r="2371" spans="1:21" ht="14.5" x14ac:dyDescent="0.4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82"/>
      <c r="U2371" s="182"/>
    </row>
    <row r="2372" spans="1:21" ht="14.5" x14ac:dyDescent="0.4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82"/>
      <c r="U2372" s="182"/>
    </row>
    <row r="2373" spans="1:21" ht="14.5" x14ac:dyDescent="0.4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82"/>
      <c r="U2373" s="182"/>
    </row>
    <row r="2374" spans="1:21" ht="14.5" x14ac:dyDescent="0.4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82"/>
      <c r="U2374" s="182"/>
    </row>
    <row r="2375" spans="1:21" ht="14.5" x14ac:dyDescent="0.4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82"/>
      <c r="U2375" s="182"/>
    </row>
    <row r="2376" spans="1:21" ht="14.5" x14ac:dyDescent="0.4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82"/>
      <c r="U2376" s="182"/>
    </row>
    <row r="2377" spans="1:21" ht="14.5" x14ac:dyDescent="0.4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82"/>
      <c r="U2377" s="182"/>
    </row>
    <row r="2378" spans="1:21" ht="14.5" x14ac:dyDescent="0.4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82"/>
      <c r="U2378" s="182"/>
    </row>
    <row r="2379" spans="1:21" ht="14.5" x14ac:dyDescent="0.4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82"/>
      <c r="U2379" s="182"/>
    </row>
    <row r="2380" spans="1:21" ht="14.5" x14ac:dyDescent="0.4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82"/>
      <c r="U2380" s="182"/>
    </row>
    <row r="2381" spans="1:21" ht="14.5" x14ac:dyDescent="0.4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82"/>
      <c r="U2381" s="182"/>
    </row>
    <row r="2382" spans="1:21" ht="14.5" x14ac:dyDescent="0.4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82"/>
      <c r="U2382" s="182"/>
    </row>
    <row r="2383" spans="1:21" ht="14.5" x14ac:dyDescent="0.4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82"/>
      <c r="U2383" s="182"/>
    </row>
    <row r="2384" spans="1:21" ht="14.5" x14ac:dyDescent="0.4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82"/>
      <c r="U2384" s="182"/>
    </row>
    <row r="2385" spans="1:21" ht="14.5" x14ac:dyDescent="0.4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82"/>
      <c r="U2385" s="182"/>
    </row>
    <row r="2386" spans="1:21" ht="14.5" x14ac:dyDescent="0.4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82"/>
      <c r="U2386" s="182"/>
    </row>
    <row r="2387" spans="1:21" ht="14.5" x14ac:dyDescent="0.4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82"/>
      <c r="U2387" s="182"/>
    </row>
    <row r="2388" spans="1:21" ht="14.5" x14ac:dyDescent="0.4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82"/>
      <c r="U2388" s="182"/>
    </row>
    <row r="2389" spans="1:21" ht="14.5" x14ac:dyDescent="0.4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82"/>
      <c r="U2389" s="182"/>
    </row>
    <row r="2390" spans="1:21" ht="14.5" x14ac:dyDescent="0.4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82"/>
      <c r="U2390" s="182"/>
    </row>
    <row r="2391" spans="1:21" ht="14.5" x14ac:dyDescent="0.4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82"/>
      <c r="U2391" s="182"/>
    </row>
    <row r="2392" spans="1:21" ht="14.5" x14ac:dyDescent="0.4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82"/>
      <c r="U2392" s="182"/>
    </row>
    <row r="2393" spans="1:21" ht="14.5" x14ac:dyDescent="0.4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82"/>
      <c r="U2393" s="182"/>
    </row>
    <row r="2394" spans="1:21" ht="14.5" x14ac:dyDescent="0.4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82"/>
      <c r="U2394" s="182"/>
    </row>
    <row r="2395" spans="1:21" ht="14.5" x14ac:dyDescent="0.4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82"/>
      <c r="U2395" s="182"/>
    </row>
    <row r="2396" spans="1:21" ht="14.5" x14ac:dyDescent="0.4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82"/>
      <c r="U2396" s="182"/>
    </row>
    <row r="2397" spans="1:21" ht="14.5" x14ac:dyDescent="0.4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82"/>
      <c r="U2397" s="182"/>
    </row>
    <row r="2398" spans="1:21" ht="14.5" x14ac:dyDescent="0.4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82"/>
      <c r="U2398" s="182"/>
    </row>
    <row r="2399" spans="1:21" ht="14.5" x14ac:dyDescent="0.4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82"/>
      <c r="U2399" s="182"/>
    </row>
    <row r="2400" spans="1:21" ht="14.5" x14ac:dyDescent="0.4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82"/>
      <c r="U2400" s="182"/>
    </row>
    <row r="2401" spans="1:21" ht="14.5" x14ac:dyDescent="0.4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82"/>
      <c r="U2401" s="182"/>
    </row>
    <row r="2402" spans="1:21" ht="14.5" x14ac:dyDescent="0.4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82"/>
      <c r="U2402" s="182"/>
    </row>
    <row r="2403" spans="1:21" ht="14.5" x14ac:dyDescent="0.4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82"/>
      <c r="U2403" s="182"/>
    </row>
    <row r="2404" spans="1:21" ht="14.5" x14ac:dyDescent="0.4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82"/>
      <c r="U2404" s="182"/>
    </row>
    <row r="2405" spans="1:21" ht="14.5" x14ac:dyDescent="0.4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82"/>
      <c r="U2405" s="182"/>
    </row>
    <row r="2406" spans="1:21" ht="14.5" x14ac:dyDescent="0.4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82"/>
      <c r="U2406" s="182"/>
    </row>
    <row r="2407" spans="1:21" ht="14.5" x14ac:dyDescent="0.4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82"/>
      <c r="U2407" s="182"/>
    </row>
    <row r="2408" spans="1:21" ht="14.5" x14ac:dyDescent="0.4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82"/>
      <c r="U2408" s="182"/>
    </row>
    <row r="2409" spans="1:21" ht="14.5" x14ac:dyDescent="0.4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82"/>
      <c r="U2409" s="182"/>
    </row>
    <row r="2410" spans="1:21" ht="14.5" x14ac:dyDescent="0.4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82"/>
      <c r="U2410" s="182"/>
    </row>
    <row r="2411" spans="1:21" ht="14.5" x14ac:dyDescent="0.4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82"/>
      <c r="U2411" s="182"/>
    </row>
    <row r="2412" spans="1:21" ht="14.5" x14ac:dyDescent="0.4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82"/>
      <c r="U2412" s="182"/>
    </row>
    <row r="2413" spans="1:21" ht="14.5" x14ac:dyDescent="0.4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82"/>
      <c r="U2413" s="182"/>
    </row>
    <row r="2414" spans="1:21" ht="14.5" x14ac:dyDescent="0.4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82"/>
      <c r="U2414" s="182"/>
    </row>
    <row r="2415" spans="1:21" ht="14.5" x14ac:dyDescent="0.4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82"/>
      <c r="U2415" s="182"/>
    </row>
    <row r="2416" spans="1:21" ht="14.5" x14ac:dyDescent="0.4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82"/>
      <c r="U2416" s="182"/>
    </row>
    <row r="2417" spans="1:21" ht="14.5" x14ac:dyDescent="0.4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82"/>
      <c r="U2417" s="182"/>
    </row>
    <row r="2418" spans="1:21" ht="14.5" x14ac:dyDescent="0.4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82"/>
      <c r="U2418" s="182"/>
    </row>
    <row r="2419" spans="1:21" ht="14.5" x14ac:dyDescent="0.4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82"/>
      <c r="U2419" s="182"/>
    </row>
    <row r="2420" spans="1:21" ht="14.5" x14ac:dyDescent="0.4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82"/>
      <c r="U2420" s="182"/>
    </row>
    <row r="2421" spans="1:21" ht="14.5" x14ac:dyDescent="0.4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82"/>
      <c r="U2421" s="182"/>
    </row>
    <row r="2422" spans="1:21" ht="14.5" x14ac:dyDescent="0.4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82"/>
      <c r="U2422" s="182"/>
    </row>
    <row r="2423" spans="1:21" ht="14.5" x14ac:dyDescent="0.4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82"/>
      <c r="U2423" s="182"/>
    </row>
    <row r="2424" spans="1:21" ht="14.5" x14ac:dyDescent="0.4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82"/>
      <c r="U2424" s="182"/>
    </row>
    <row r="2425" spans="1:21" ht="14.5" x14ac:dyDescent="0.4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82"/>
      <c r="U2425" s="182"/>
    </row>
    <row r="2426" spans="1:21" ht="14.5" x14ac:dyDescent="0.4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82"/>
      <c r="U2426" s="182"/>
    </row>
    <row r="2427" spans="1:21" ht="14.5" x14ac:dyDescent="0.4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82"/>
      <c r="U2427" s="182"/>
    </row>
    <row r="2428" spans="1:21" ht="14.5" x14ac:dyDescent="0.4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82"/>
      <c r="U2428" s="182"/>
    </row>
    <row r="2429" spans="1:21" ht="14.5" x14ac:dyDescent="0.4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82"/>
      <c r="U2429" s="182"/>
    </row>
    <row r="2430" spans="1:21" ht="14.5" x14ac:dyDescent="0.4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82"/>
      <c r="U2430" s="182"/>
    </row>
    <row r="2431" spans="1:21" ht="14.5" x14ac:dyDescent="0.4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82"/>
      <c r="U2431" s="182"/>
    </row>
    <row r="2432" spans="1:21" ht="14.5" x14ac:dyDescent="0.4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82"/>
      <c r="U2432" s="182"/>
    </row>
    <row r="2433" spans="1:21" ht="14.5" x14ac:dyDescent="0.4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82"/>
      <c r="U2433" s="182"/>
    </row>
    <row r="2434" spans="1:21" ht="14.5" x14ac:dyDescent="0.4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82"/>
      <c r="U2434" s="182"/>
    </row>
    <row r="2435" spans="1:21" ht="14.5" x14ac:dyDescent="0.4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82"/>
      <c r="U2435" s="182"/>
    </row>
    <row r="2436" spans="1:21" ht="14.5" x14ac:dyDescent="0.4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82"/>
      <c r="U2436" s="182"/>
    </row>
    <row r="2437" spans="1:21" ht="14.5" x14ac:dyDescent="0.4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82"/>
      <c r="U2437" s="182"/>
    </row>
    <row r="2438" spans="1:21" ht="14.5" x14ac:dyDescent="0.4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82"/>
      <c r="U2438" s="182"/>
    </row>
    <row r="2439" spans="1:21" ht="14.5" x14ac:dyDescent="0.4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82"/>
      <c r="U2439" s="182"/>
    </row>
    <row r="2440" spans="1:21" ht="14.5" x14ac:dyDescent="0.4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82"/>
      <c r="U2440" s="182"/>
    </row>
    <row r="2441" spans="1:21" ht="14.5" x14ac:dyDescent="0.4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82"/>
      <c r="U2441" s="182"/>
    </row>
    <row r="2442" spans="1:21" ht="14.5" x14ac:dyDescent="0.4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82"/>
      <c r="U2442" s="182"/>
    </row>
    <row r="2443" spans="1:21" ht="14.5" x14ac:dyDescent="0.4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82"/>
      <c r="U2443" s="182"/>
    </row>
    <row r="2444" spans="1:21" ht="14.5" x14ac:dyDescent="0.4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82"/>
      <c r="U2444" s="182"/>
    </row>
    <row r="2445" spans="1:21" ht="14.5" x14ac:dyDescent="0.4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82"/>
      <c r="U2445" s="182"/>
    </row>
    <row r="2446" spans="1:21" ht="14.5" x14ac:dyDescent="0.4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82"/>
      <c r="U2446" s="182"/>
    </row>
    <row r="2447" spans="1:21" ht="14.5" x14ac:dyDescent="0.4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82"/>
      <c r="U2447" s="182"/>
    </row>
    <row r="2448" spans="1:21" ht="14.5" x14ac:dyDescent="0.4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82"/>
      <c r="U2448" s="182"/>
    </row>
    <row r="2449" spans="1:21" ht="14.5" x14ac:dyDescent="0.4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82"/>
      <c r="U2449" s="182"/>
    </row>
    <row r="2450" spans="1:21" ht="14.5" x14ac:dyDescent="0.4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82"/>
      <c r="U2450" s="182"/>
    </row>
    <row r="2451" spans="1:21" ht="14.5" x14ac:dyDescent="0.4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82"/>
      <c r="U2451" s="182"/>
    </row>
    <row r="2452" spans="1:21" ht="14.5" x14ac:dyDescent="0.4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82"/>
      <c r="U2452" s="182"/>
    </row>
    <row r="2453" spans="1:21" ht="14.5" x14ac:dyDescent="0.4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82"/>
      <c r="U2453" s="182"/>
    </row>
    <row r="2454" spans="1:21" ht="14.5" x14ac:dyDescent="0.4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82"/>
      <c r="U2454" s="182"/>
    </row>
    <row r="2455" spans="1:21" ht="14.5" x14ac:dyDescent="0.4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82"/>
      <c r="U2455" s="182"/>
    </row>
    <row r="2456" spans="1:21" ht="14.5" x14ac:dyDescent="0.4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82"/>
      <c r="U2456" s="182"/>
    </row>
    <row r="2457" spans="1:21" ht="14.5" x14ac:dyDescent="0.4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82"/>
      <c r="U2457" s="182"/>
    </row>
    <row r="2458" spans="1:21" ht="14.5" x14ac:dyDescent="0.4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82"/>
      <c r="U2458" s="182"/>
    </row>
    <row r="2459" spans="1:21" ht="14.5" x14ac:dyDescent="0.4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82"/>
      <c r="U2459" s="182"/>
    </row>
    <row r="2460" spans="1:21" ht="14.5" x14ac:dyDescent="0.4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82"/>
      <c r="U2460" s="182"/>
    </row>
    <row r="2461" spans="1:21" ht="14.5" x14ac:dyDescent="0.4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82"/>
      <c r="U2461" s="182"/>
    </row>
    <row r="2462" spans="1:21" ht="14.5" x14ac:dyDescent="0.4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82"/>
      <c r="U2462" s="182"/>
    </row>
    <row r="2463" spans="1:21" ht="14.5" x14ac:dyDescent="0.4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82"/>
      <c r="U2463" s="182"/>
    </row>
    <row r="2464" spans="1:21" ht="14.5" x14ac:dyDescent="0.4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82"/>
      <c r="U2464" s="182"/>
    </row>
    <row r="2465" spans="1:21" ht="14.5" x14ac:dyDescent="0.4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82"/>
      <c r="U2465" s="182"/>
    </row>
    <row r="2466" spans="1:21" ht="14.5" x14ac:dyDescent="0.4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82"/>
      <c r="U2466" s="182"/>
    </row>
    <row r="2467" spans="1:21" ht="14.5" x14ac:dyDescent="0.4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82"/>
      <c r="U2467" s="182"/>
    </row>
    <row r="2468" spans="1:21" ht="14.5" x14ac:dyDescent="0.4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82"/>
      <c r="U2468" s="182"/>
    </row>
    <row r="2469" spans="1:21" ht="14.5" x14ac:dyDescent="0.4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82"/>
      <c r="U2469" s="182"/>
    </row>
    <row r="2470" spans="1:21" ht="14.5" x14ac:dyDescent="0.4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82"/>
      <c r="U2470" s="182"/>
    </row>
    <row r="2471" spans="1:21" ht="14.5" x14ac:dyDescent="0.4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82"/>
      <c r="U2471" s="182"/>
    </row>
    <row r="2472" spans="1:21" ht="14.5" x14ac:dyDescent="0.4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82"/>
      <c r="U2472" s="182"/>
    </row>
    <row r="2473" spans="1:21" ht="14.5" x14ac:dyDescent="0.4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82"/>
      <c r="U2473" s="182"/>
    </row>
    <row r="2474" spans="1:21" ht="14.5" x14ac:dyDescent="0.4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82"/>
      <c r="U2474" s="182"/>
    </row>
    <row r="2475" spans="1:21" ht="14.5" x14ac:dyDescent="0.4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82"/>
      <c r="U2475" s="182"/>
    </row>
    <row r="2476" spans="1:21" ht="14.5" x14ac:dyDescent="0.4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82"/>
      <c r="U2476" s="182"/>
    </row>
    <row r="2477" spans="1:21" ht="14.5" x14ac:dyDescent="0.4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82"/>
      <c r="U2477" s="182"/>
    </row>
    <row r="2478" spans="1:21" ht="14.5" x14ac:dyDescent="0.4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82"/>
      <c r="U2478" s="182"/>
    </row>
    <row r="2479" spans="1:21" ht="14.5" x14ac:dyDescent="0.4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82"/>
      <c r="U2479" s="182"/>
    </row>
    <row r="2480" spans="1:21" ht="14.5" x14ac:dyDescent="0.4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82"/>
      <c r="U2480" s="182"/>
    </row>
    <row r="2481" spans="1:21" ht="14.5" x14ac:dyDescent="0.4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82"/>
      <c r="U2481" s="182"/>
    </row>
    <row r="2482" spans="1:21" ht="14.5" x14ac:dyDescent="0.4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82"/>
      <c r="U2482" s="182"/>
    </row>
    <row r="2483" spans="1:21" ht="14.5" x14ac:dyDescent="0.4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82"/>
      <c r="U2483" s="182"/>
    </row>
    <row r="2484" spans="1:21" ht="14.5" x14ac:dyDescent="0.4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82"/>
      <c r="U2484" s="182"/>
    </row>
    <row r="2485" spans="1:21" ht="14.5" x14ac:dyDescent="0.4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82"/>
      <c r="U2485" s="182"/>
    </row>
    <row r="2486" spans="1:21" ht="14.5" x14ac:dyDescent="0.4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82"/>
      <c r="U2486" s="182"/>
    </row>
    <row r="2487" spans="1:21" ht="14.5" x14ac:dyDescent="0.4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82"/>
      <c r="U2487" s="182"/>
    </row>
    <row r="2488" spans="1:21" ht="14.5" x14ac:dyDescent="0.4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82"/>
      <c r="U2488" s="182"/>
    </row>
    <row r="2489" spans="1:21" ht="14.5" x14ac:dyDescent="0.4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82"/>
      <c r="U2489" s="182"/>
    </row>
    <row r="2490" spans="1:21" ht="14.5" x14ac:dyDescent="0.4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82"/>
      <c r="U2490" s="182"/>
    </row>
    <row r="2491" spans="1:21" ht="14.5" x14ac:dyDescent="0.4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82"/>
      <c r="U2491" s="182"/>
    </row>
    <row r="2492" spans="1:21" ht="14.5" x14ac:dyDescent="0.4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82"/>
      <c r="U2492" s="182"/>
    </row>
    <row r="2493" spans="1:21" ht="14.5" x14ac:dyDescent="0.4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82"/>
      <c r="U2493" s="182"/>
    </row>
    <row r="2494" spans="1:21" ht="14.5" x14ac:dyDescent="0.4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82"/>
      <c r="U2494" s="182"/>
    </row>
    <row r="2495" spans="1:21" ht="14.5" x14ac:dyDescent="0.4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82"/>
      <c r="U2495" s="182"/>
    </row>
    <row r="2496" spans="1:21" ht="14.5" x14ac:dyDescent="0.4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82"/>
      <c r="U2496" s="182"/>
    </row>
    <row r="2497" spans="1:21" ht="14.5" x14ac:dyDescent="0.4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82"/>
      <c r="U2497" s="182"/>
    </row>
    <row r="2498" spans="1:21" ht="14.5" x14ac:dyDescent="0.4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82"/>
      <c r="U2498" s="182"/>
    </row>
    <row r="2499" spans="1:21" ht="14.5" x14ac:dyDescent="0.4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82"/>
      <c r="U2499" s="182"/>
    </row>
    <row r="2500" spans="1:21" ht="14.5" x14ac:dyDescent="0.4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82"/>
      <c r="U2500" s="182"/>
    </row>
    <row r="2501" spans="1:21" ht="14.5" x14ac:dyDescent="0.4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82"/>
      <c r="U2501" s="182"/>
    </row>
    <row r="2502" spans="1:21" ht="14.5" x14ac:dyDescent="0.4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82"/>
      <c r="U2502" s="182"/>
    </row>
    <row r="2503" spans="1:21" ht="14.5" x14ac:dyDescent="0.4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82"/>
      <c r="U2503" s="182"/>
    </row>
    <row r="2504" spans="1:21" ht="14.5" x14ac:dyDescent="0.4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82"/>
      <c r="U2504" s="182"/>
    </row>
    <row r="2505" spans="1:21" ht="14.5" x14ac:dyDescent="0.4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82"/>
      <c r="U2505" s="182"/>
    </row>
    <row r="2506" spans="1:21" ht="14.5" x14ac:dyDescent="0.4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82"/>
      <c r="U2506" s="182"/>
    </row>
    <row r="2507" spans="1:21" ht="14.5" x14ac:dyDescent="0.4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82"/>
      <c r="U2507" s="182"/>
    </row>
    <row r="2508" spans="1:21" ht="14.5" x14ac:dyDescent="0.4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82"/>
      <c r="U2508" s="182"/>
    </row>
    <row r="2509" spans="1:21" ht="14.5" x14ac:dyDescent="0.4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82"/>
      <c r="U2509" s="182"/>
    </row>
    <row r="2510" spans="1:21" ht="14.5" x14ac:dyDescent="0.4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82"/>
      <c r="U2510" s="182"/>
    </row>
    <row r="2511" spans="1:21" ht="14.5" x14ac:dyDescent="0.4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82"/>
      <c r="U2511" s="182"/>
    </row>
    <row r="2512" spans="1:21" ht="14.5" x14ac:dyDescent="0.4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82"/>
      <c r="U2512" s="182"/>
    </row>
    <row r="2513" spans="1:21" ht="14.5" x14ac:dyDescent="0.4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82"/>
      <c r="U2513" s="182"/>
    </row>
    <row r="2514" spans="1:21" ht="14.5" x14ac:dyDescent="0.4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82"/>
      <c r="U2514" s="182"/>
    </row>
    <row r="2515" spans="1:21" ht="14.5" x14ac:dyDescent="0.4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82"/>
      <c r="U2515" s="182"/>
    </row>
    <row r="2516" spans="1:21" ht="14.5" x14ac:dyDescent="0.4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82"/>
      <c r="U2516" s="182"/>
    </row>
    <row r="2517" spans="1:21" ht="14.5" x14ac:dyDescent="0.4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82"/>
      <c r="U2517" s="182"/>
    </row>
    <row r="2518" spans="1:21" ht="14.5" x14ac:dyDescent="0.4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82"/>
      <c r="U2518" s="182"/>
    </row>
    <row r="2519" spans="1:21" ht="14.5" x14ac:dyDescent="0.4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82"/>
      <c r="U2519" s="182"/>
    </row>
    <row r="2520" spans="1:21" ht="14.5" x14ac:dyDescent="0.4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82"/>
      <c r="U2520" s="182"/>
    </row>
    <row r="2521" spans="1:21" ht="14.5" x14ac:dyDescent="0.4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82"/>
      <c r="U2521" s="182"/>
    </row>
    <row r="2522" spans="1:21" ht="14.5" x14ac:dyDescent="0.4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82"/>
      <c r="U2522" s="182"/>
    </row>
    <row r="2523" spans="1:21" ht="14.5" x14ac:dyDescent="0.4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82"/>
      <c r="U2523" s="182"/>
    </row>
    <row r="2524" spans="1:21" ht="14.5" x14ac:dyDescent="0.4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82"/>
      <c r="U2524" s="182"/>
    </row>
    <row r="2525" spans="1:21" ht="14.5" x14ac:dyDescent="0.4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82"/>
      <c r="U2525" s="182"/>
    </row>
    <row r="2526" spans="1:21" ht="14.5" x14ac:dyDescent="0.4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82"/>
      <c r="U2526" s="182"/>
    </row>
    <row r="2527" spans="1:21" ht="14.5" x14ac:dyDescent="0.4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82"/>
      <c r="U2527" s="182"/>
    </row>
    <row r="2528" spans="1:21" ht="14.5" x14ac:dyDescent="0.4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82"/>
      <c r="U2528" s="182"/>
    </row>
    <row r="2529" spans="1:21" ht="14.5" x14ac:dyDescent="0.4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82"/>
      <c r="U2529" s="182"/>
    </row>
    <row r="2530" spans="1:21" ht="14.5" x14ac:dyDescent="0.4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82"/>
      <c r="U2530" s="182"/>
    </row>
    <row r="2531" spans="1:21" ht="14.5" x14ac:dyDescent="0.4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82"/>
      <c r="U2531" s="182"/>
    </row>
    <row r="2532" spans="1:21" ht="14.5" x14ac:dyDescent="0.4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82"/>
      <c r="U2532" s="182"/>
    </row>
    <row r="2533" spans="1:21" ht="14.5" x14ac:dyDescent="0.4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82"/>
      <c r="U2533" s="182"/>
    </row>
    <row r="2534" spans="1:21" ht="14.5" x14ac:dyDescent="0.4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82"/>
      <c r="U2534" s="182"/>
    </row>
    <row r="2535" spans="1:21" ht="14.5" x14ac:dyDescent="0.4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82"/>
      <c r="U2535" s="182"/>
    </row>
    <row r="2536" spans="1:21" ht="14.5" x14ac:dyDescent="0.4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82"/>
      <c r="U2536" s="182"/>
    </row>
    <row r="2537" spans="1:21" ht="14.5" x14ac:dyDescent="0.4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82"/>
      <c r="U2537" s="182"/>
    </row>
    <row r="2538" spans="1:21" ht="14.5" x14ac:dyDescent="0.4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82"/>
      <c r="U2538" s="182"/>
    </row>
    <row r="2539" spans="1:21" ht="14.5" x14ac:dyDescent="0.4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82"/>
      <c r="U2539" s="182"/>
    </row>
    <row r="2540" spans="1:21" ht="14.5" x14ac:dyDescent="0.4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82"/>
      <c r="U2540" s="182"/>
    </row>
    <row r="2541" spans="1:21" ht="14.5" x14ac:dyDescent="0.4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82"/>
      <c r="U2541" s="182"/>
    </row>
    <row r="2542" spans="1:21" ht="14.5" x14ac:dyDescent="0.4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82"/>
      <c r="U2542" s="182"/>
    </row>
    <row r="2543" spans="1:21" ht="14.5" x14ac:dyDescent="0.4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82"/>
      <c r="U2543" s="182"/>
    </row>
    <row r="2544" spans="1:21" ht="14.5" x14ac:dyDescent="0.4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82"/>
      <c r="U2544" s="182"/>
    </row>
    <row r="2545" spans="1:21" ht="14.5" x14ac:dyDescent="0.4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82"/>
      <c r="U2545" s="182"/>
    </row>
    <row r="2546" spans="1:21" ht="14.5" x14ac:dyDescent="0.4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82"/>
      <c r="U2546" s="182"/>
    </row>
    <row r="2547" spans="1:21" ht="14.5" x14ac:dyDescent="0.4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82"/>
      <c r="U2547" s="182"/>
    </row>
    <row r="2548" spans="1:21" ht="14.5" x14ac:dyDescent="0.4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82"/>
      <c r="U2548" s="182"/>
    </row>
    <row r="2549" spans="1:21" ht="14.5" x14ac:dyDescent="0.4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82"/>
      <c r="U2549" s="182"/>
    </row>
    <row r="2550" spans="1:21" ht="14.5" x14ac:dyDescent="0.4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82"/>
      <c r="U2550" s="182"/>
    </row>
    <row r="2551" spans="1:21" ht="14.5" x14ac:dyDescent="0.4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82"/>
      <c r="U2551" s="182"/>
    </row>
    <row r="2552" spans="1:21" ht="14.5" x14ac:dyDescent="0.4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82"/>
      <c r="U2552" s="182"/>
    </row>
    <row r="2553" spans="1:21" ht="14.5" x14ac:dyDescent="0.4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82"/>
      <c r="U2553" s="182"/>
    </row>
    <row r="2554" spans="1:21" ht="14.5" x14ac:dyDescent="0.4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82"/>
      <c r="U2554" s="182"/>
    </row>
    <row r="2555" spans="1:21" ht="14.5" x14ac:dyDescent="0.4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82"/>
      <c r="U2555" s="182"/>
    </row>
    <row r="2556" spans="1:21" ht="14.5" x14ac:dyDescent="0.4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82"/>
      <c r="U2556" s="182"/>
    </row>
    <row r="2557" spans="1:21" ht="14.5" x14ac:dyDescent="0.4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82"/>
      <c r="U2557" s="182"/>
    </row>
    <row r="2558" spans="1:21" ht="14.5" x14ac:dyDescent="0.4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82"/>
      <c r="U2558" s="182"/>
    </row>
    <row r="2559" spans="1:21" ht="14.5" x14ac:dyDescent="0.4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82"/>
      <c r="U2559" s="182"/>
    </row>
    <row r="2560" spans="1:21" ht="14.5" x14ac:dyDescent="0.4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82"/>
      <c r="U2560" s="182"/>
    </row>
    <row r="2561" spans="1:21" ht="14.5" x14ac:dyDescent="0.4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82"/>
      <c r="U2561" s="182"/>
    </row>
    <row r="2562" spans="1:21" ht="14.5" x14ac:dyDescent="0.4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82"/>
      <c r="U2562" s="182"/>
    </row>
    <row r="2563" spans="1:21" ht="14.5" x14ac:dyDescent="0.4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82"/>
      <c r="U2563" s="182"/>
    </row>
    <row r="2564" spans="1:21" ht="14.5" x14ac:dyDescent="0.4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82"/>
      <c r="U2564" s="182"/>
    </row>
    <row r="2565" spans="1:21" ht="14.5" x14ac:dyDescent="0.4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82"/>
      <c r="U2565" s="182"/>
    </row>
    <row r="2566" spans="1:21" ht="14.5" x14ac:dyDescent="0.4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82"/>
      <c r="U2566" s="182"/>
    </row>
    <row r="2567" spans="1:21" ht="14.5" x14ac:dyDescent="0.4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82"/>
      <c r="U2567" s="182"/>
    </row>
    <row r="2568" spans="1:21" ht="14.5" x14ac:dyDescent="0.4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82"/>
      <c r="U2568" s="182"/>
    </row>
    <row r="2569" spans="1:21" ht="14.5" x14ac:dyDescent="0.4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82"/>
      <c r="U2569" s="182"/>
    </row>
    <row r="2570" spans="1:21" ht="14.5" x14ac:dyDescent="0.4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82"/>
      <c r="U2570" s="182"/>
    </row>
    <row r="2571" spans="1:21" ht="14.5" x14ac:dyDescent="0.4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82"/>
      <c r="U2571" s="182"/>
    </row>
    <row r="2572" spans="1:21" ht="14.5" x14ac:dyDescent="0.4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82"/>
      <c r="U2572" s="182"/>
    </row>
    <row r="2573" spans="1:21" ht="14.5" x14ac:dyDescent="0.4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82"/>
      <c r="U2573" s="182"/>
    </row>
    <row r="2574" spans="1:21" ht="14.5" x14ac:dyDescent="0.4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82"/>
      <c r="U2574" s="182"/>
    </row>
    <row r="2575" spans="1:21" ht="14.5" x14ac:dyDescent="0.4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82"/>
      <c r="U2575" s="182"/>
    </row>
    <row r="2576" spans="1:21" ht="14.5" x14ac:dyDescent="0.4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82"/>
      <c r="U2576" s="182"/>
    </row>
    <row r="2577" spans="1:21" ht="14.5" x14ac:dyDescent="0.4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82"/>
      <c r="U2577" s="182"/>
    </row>
    <row r="2578" spans="1:21" ht="14.5" x14ac:dyDescent="0.4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82"/>
      <c r="U2578" s="182"/>
    </row>
    <row r="2579" spans="1:21" ht="14.5" x14ac:dyDescent="0.4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82"/>
      <c r="U2579" s="182"/>
    </row>
    <row r="2580" spans="1:21" ht="14.5" x14ac:dyDescent="0.4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82"/>
      <c r="U2580" s="182"/>
    </row>
    <row r="2581" spans="1:21" ht="14.5" x14ac:dyDescent="0.4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82"/>
      <c r="U2581" s="182"/>
    </row>
    <row r="2582" spans="1:21" ht="14.5" x14ac:dyDescent="0.4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82"/>
      <c r="U2582" s="182"/>
    </row>
    <row r="2583" spans="1:21" ht="14.5" x14ac:dyDescent="0.4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82"/>
      <c r="U2583" s="182"/>
    </row>
    <row r="2584" spans="1:21" ht="14.5" x14ac:dyDescent="0.4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82"/>
      <c r="U2584" s="182"/>
    </row>
    <row r="2585" spans="1:21" ht="14.5" x14ac:dyDescent="0.4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82"/>
      <c r="U2585" s="182"/>
    </row>
    <row r="2586" spans="1:21" ht="14.5" x14ac:dyDescent="0.4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82"/>
      <c r="U2586" s="182"/>
    </row>
    <row r="2587" spans="1:21" ht="14.5" x14ac:dyDescent="0.4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82"/>
      <c r="U2587" s="182"/>
    </row>
    <row r="2588" spans="1:21" ht="14.5" x14ac:dyDescent="0.4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82"/>
      <c r="U2588" s="182"/>
    </row>
    <row r="2589" spans="1:21" ht="14.5" x14ac:dyDescent="0.4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82"/>
      <c r="U2589" s="182"/>
    </row>
    <row r="2590" spans="1:21" ht="14.5" x14ac:dyDescent="0.4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82"/>
      <c r="U2590" s="182"/>
    </row>
    <row r="2591" spans="1:21" ht="14.5" x14ac:dyDescent="0.4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82"/>
      <c r="U2591" s="182"/>
    </row>
    <row r="2592" spans="1:21" ht="14.5" x14ac:dyDescent="0.4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82"/>
      <c r="U2592" s="182"/>
    </row>
    <row r="2593" spans="1:21" ht="14.5" x14ac:dyDescent="0.4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82"/>
      <c r="U2593" s="182"/>
    </row>
    <row r="2594" spans="1:21" ht="14.5" x14ac:dyDescent="0.4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82"/>
      <c r="U2594" s="182"/>
    </row>
    <row r="2595" spans="1:21" ht="14.5" x14ac:dyDescent="0.4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82"/>
      <c r="U2595" s="182"/>
    </row>
    <row r="2596" spans="1:21" ht="14.5" x14ac:dyDescent="0.4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82"/>
      <c r="U2596" s="182"/>
    </row>
    <row r="2597" spans="1:21" ht="14.5" x14ac:dyDescent="0.4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82"/>
      <c r="U2597" s="182"/>
    </row>
    <row r="2598" spans="1:21" ht="14.5" x14ac:dyDescent="0.4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82"/>
      <c r="U2598" s="182"/>
    </row>
    <row r="2599" spans="1:21" ht="14.5" x14ac:dyDescent="0.4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82"/>
      <c r="U2599" s="182"/>
    </row>
    <row r="2600" spans="1:21" ht="14.5" x14ac:dyDescent="0.4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82"/>
      <c r="U2600" s="182"/>
    </row>
    <row r="2601" spans="1:21" ht="14.5" x14ac:dyDescent="0.4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82"/>
      <c r="U2601" s="182"/>
    </row>
    <row r="2602" spans="1:21" ht="14.5" x14ac:dyDescent="0.4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82"/>
      <c r="U2602" s="182"/>
    </row>
    <row r="2603" spans="1:21" ht="14.5" x14ac:dyDescent="0.4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82"/>
      <c r="U2603" s="182"/>
    </row>
    <row r="2604" spans="1:21" ht="14.5" x14ac:dyDescent="0.4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82"/>
      <c r="U2604" s="182"/>
    </row>
    <row r="2605" spans="1:21" ht="14.5" x14ac:dyDescent="0.4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82"/>
      <c r="U2605" s="182"/>
    </row>
    <row r="2606" spans="1:21" ht="14.5" x14ac:dyDescent="0.4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82"/>
      <c r="U2606" s="182"/>
    </row>
    <row r="2607" spans="1:21" ht="14.5" x14ac:dyDescent="0.4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82"/>
      <c r="U2607" s="182"/>
    </row>
    <row r="2608" spans="1:21" ht="14.5" x14ac:dyDescent="0.4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82"/>
      <c r="U2608" s="182"/>
    </row>
    <row r="2609" spans="1:21" ht="14.5" x14ac:dyDescent="0.4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82"/>
      <c r="U2609" s="182"/>
    </row>
    <row r="2610" spans="1:21" ht="14.5" x14ac:dyDescent="0.4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82"/>
      <c r="U2610" s="182"/>
    </row>
    <row r="2611" spans="1:21" ht="14.5" x14ac:dyDescent="0.4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82"/>
      <c r="U2611" s="182"/>
    </row>
    <row r="2612" spans="1:21" ht="14.5" x14ac:dyDescent="0.4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82"/>
      <c r="U2612" s="182"/>
    </row>
    <row r="2613" spans="1:21" ht="14.5" x14ac:dyDescent="0.4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82"/>
      <c r="U2613" s="182"/>
    </row>
    <row r="2614" spans="1:21" ht="14.5" x14ac:dyDescent="0.4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82"/>
      <c r="U2614" s="182"/>
    </row>
    <row r="2615" spans="1:21" ht="14.5" x14ac:dyDescent="0.4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82"/>
      <c r="U2615" s="182"/>
    </row>
    <row r="2616" spans="1:21" ht="14.5" x14ac:dyDescent="0.4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82"/>
      <c r="U2616" s="182"/>
    </row>
    <row r="2617" spans="1:21" ht="14.5" x14ac:dyDescent="0.4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82"/>
      <c r="U2617" s="182"/>
    </row>
    <row r="2618" spans="1:21" ht="14.5" x14ac:dyDescent="0.4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82"/>
      <c r="U2618" s="182"/>
    </row>
    <row r="2619" spans="1:21" ht="14.5" x14ac:dyDescent="0.4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82"/>
      <c r="U2619" s="182"/>
    </row>
    <row r="2620" spans="1:21" ht="14.5" x14ac:dyDescent="0.4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82"/>
      <c r="U2620" s="182"/>
    </row>
    <row r="2621" spans="1:21" ht="14.5" x14ac:dyDescent="0.4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82"/>
      <c r="U2621" s="182"/>
    </row>
    <row r="2622" spans="1:21" ht="14.5" x14ac:dyDescent="0.4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82"/>
      <c r="U2622" s="182"/>
    </row>
    <row r="2623" spans="1:21" ht="14.5" x14ac:dyDescent="0.4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82"/>
      <c r="U2623" s="182"/>
    </row>
    <row r="2624" spans="1:21" ht="14.5" x14ac:dyDescent="0.4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82"/>
      <c r="U2624" s="182"/>
    </row>
    <row r="2625" spans="1:21" ht="14.5" x14ac:dyDescent="0.4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82"/>
      <c r="U2625" s="182"/>
    </row>
    <row r="2626" spans="1:21" ht="14.5" x14ac:dyDescent="0.4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82"/>
      <c r="U2626" s="182"/>
    </row>
    <row r="2627" spans="1:21" ht="14.5" x14ac:dyDescent="0.4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82"/>
      <c r="U2627" s="182"/>
    </row>
    <row r="2628" spans="1:21" ht="14.5" x14ac:dyDescent="0.4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82"/>
      <c r="U2628" s="182"/>
    </row>
    <row r="2629" spans="1:21" ht="14.5" x14ac:dyDescent="0.4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82"/>
      <c r="U2629" s="182"/>
    </row>
    <row r="2630" spans="1:21" ht="14.5" x14ac:dyDescent="0.4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82"/>
      <c r="U2630" s="182"/>
    </row>
    <row r="2631" spans="1:21" ht="14.5" x14ac:dyDescent="0.4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82"/>
      <c r="U2631" s="182"/>
    </row>
    <row r="2632" spans="1:21" ht="14.5" x14ac:dyDescent="0.4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82"/>
      <c r="U2632" s="182"/>
    </row>
    <row r="2633" spans="1:21" ht="14.5" x14ac:dyDescent="0.4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82"/>
      <c r="U2633" s="182"/>
    </row>
    <row r="2634" spans="1:21" ht="14.5" x14ac:dyDescent="0.4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82"/>
      <c r="U2634" s="182"/>
    </row>
    <row r="2635" spans="1:21" ht="14.5" x14ac:dyDescent="0.4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82"/>
      <c r="U2635" s="182"/>
    </row>
    <row r="2636" spans="1:21" ht="14.5" x14ac:dyDescent="0.4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82"/>
      <c r="U2636" s="182"/>
    </row>
    <row r="2637" spans="1:21" ht="14.5" x14ac:dyDescent="0.4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82"/>
      <c r="U2637" s="182"/>
    </row>
    <row r="2638" spans="1:21" ht="14.5" x14ac:dyDescent="0.4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82"/>
      <c r="U2638" s="182"/>
    </row>
    <row r="2639" spans="1:21" ht="14.5" x14ac:dyDescent="0.4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82"/>
      <c r="U2639" s="182"/>
    </row>
    <row r="2640" spans="1:21" ht="14.5" x14ac:dyDescent="0.4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82"/>
      <c r="U2640" s="182"/>
    </row>
    <row r="2641" spans="1:21" ht="14.5" x14ac:dyDescent="0.4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82"/>
      <c r="U2641" s="182"/>
    </row>
    <row r="2642" spans="1:21" ht="14.5" x14ac:dyDescent="0.4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82"/>
      <c r="U2642" s="182"/>
    </row>
    <row r="2643" spans="1:21" ht="14.5" x14ac:dyDescent="0.4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82"/>
      <c r="U2643" s="182"/>
    </row>
    <row r="2644" spans="1:21" ht="14.5" x14ac:dyDescent="0.4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82"/>
      <c r="U2644" s="182"/>
    </row>
    <row r="2645" spans="1:21" ht="14.5" x14ac:dyDescent="0.4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82"/>
      <c r="U2645" s="182"/>
    </row>
    <row r="2646" spans="1:21" ht="14.5" x14ac:dyDescent="0.4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82"/>
      <c r="U2646" s="182"/>
    </row>
    <row r="2647" spans="1:21" ht="14.5" x14ac:dyDescent="0.4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82"/>
      <c r="U2647" s="182"/>
    </row>
    <row r="2648" spans="1:21" ht="14.5" x14ac:dyDescent="0.4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82"/>
      <c r="U2648" s="182"/>
    </row>
    <row r="2649" spans="1:21" ht="14.5" x14ac:dyDescent="0.4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82"/>
      <c r="U2649" s="182"/>
    </row>
    <row r="2650" spans="1:21" ht="14.5" x14ac:dyDescent="0.4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82"/>
      <c r="U2650" s="182"/>
    </row>
    <row r="2651" spans="1:21" ht="14.5" x14ac:dyDescent="0.4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82"/>
      <c r="U2651" s="182"/>
    </row>
    <row r="2652" spans="1:21" ht="14.5" x14ac:dyDescent="0.4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82"/>
      <c r="U2652" s="182"/>
    </row>
    <row r="2653" spans="1:21" ht="14.5" x14ac:dyDescent="0.4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82"/>
      <c r="U2653" s="182"/>
    </row>
    <row r="2654" spans="1:21" ht="14.5" x14ac:dyDescent="0.4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82"/>
      <c r="U2654" s="182"/>
    </row>
    <row r="2655" spans="1:21" ht="14.5" x14ac:dyDescent="0.4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82"/>
      <c r="U2655" s="182"/>
    </row>
    <row r="2656" spans="1:21" ht="14.5" x14ac:dyDescent="0.4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82"/>
      <c r="U2656" s="182"/>
    </row>
    <row r="2657" spans="1:21" ht="14.5" x14ac:dyDescent="0.4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82"/>
      <c r="U2657" s="182"/>
    </row>
    <row r="2658" spans="1:21" ht="14.5" x14ac:dyDescent="0.4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82"/>
      <c r="U2658" s="182"/>
    </row>
    <row r="2659" spans="1:21" ht="14.5" x14ac:dyDescent="0.4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82"/>
      <c r="U2659" s="182"/>
    </row>
    <row r="2660" spans="1:21" ht="14.5" x14ac:dyDescent="0.4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82"/>
      <c r="U2660" s="182"/>
    </row>
    <row r="2661" spans="1:21" ht="14.5" x14ac:dyDescent="0.4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82"/>
      <c r="U2661" s="182"/>
    </row>
    <row r="2662" spans="1:21" ht="14.5" x14ac:dyDescent="0.4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82"/>
      <c r="U2662" s="182"/>
    </row>
    <row r="2663" spans="1:21" ht="14.5" x14ac:dyDescent="0.4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82"/>
      <c r="U2663" s="182"/>
    </row>
    <row r="2664" spans="1:21" ht="14.5" x14ac:dyDescent="0.4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82"/>
      <c r="U2664" s="182"/>
    </row>
    <row r="2665" spans="1:21" ht="14.5" x14ac:dyDescent="0.4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82"/>
      <c r="U2665" s="182"/>
    </row>
    <row r="2666" spans="1:21" ht="14.5" x14ac:dyDescent="0.4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82"/>
      <c r="U2666" s="182"/>
    </row>
    <row r="2667" spans="1:21" ht="14.5" x14ac:dyDescent="0.4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82"/>
      <c r="U2667" s="182"/>
    </row>
    <row r="2668" spans="1:21" ht="14.5" x14ac:dyDescent="0.4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82"/>
      <c r="U2668" s="182"/>
    </row>
    <row r="2669" spans="1:21" ht="14.5" x14ac:dyDescent="0.4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82"/>
      <c r="U2669" s="182"/>
    </row>
    <row r="2670" spans="1:21" ht="14.5" x14ac:dyDescent="0.4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82"/>
      <c r="U2670" s="182"/>
    </row>
    <row r="2671" spans="1:21" ht="14.5" x14ac:dyDescent="0.4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82"/>
      <c r="U2671" s="182"/>
    </row>
    <row r="2672" spans="1:21" ht="14.5" x14ac:dyDescent="0.4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82"/>
      <c r="U2672" s="182"/>
    </row>
    <row r="2673" spans="1:21" ht="14.5" x14ac:dyDescent="0.4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82"/>
      <c r="U2673" s="182"/>
    </row>
    <row r="2674" spans="1:21" ht="14.5" x14ac:dyDescent="0.4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82"/>
      <c r="U2674" s="182"/>
    </row>
    <row r="2675" spans="1:21" ht="14.5" x14ac:dyDescent="0.4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82"/>
      <c r="U2675" s="182"/>
    </row>
    <row r="2676" spans="1:21" ht="14.5" x14ac:dyDescent="0.4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82"/>
      <c r="U2676" s="182"/>
    </row>
    <row r="2677" spans="1:21" ht="14.5" x14ac:dyDescent="0.4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82"/>
      <c r="U2677" s="182"/>
    </row>
    <row r="2678" spans="1:21" ht="14.5" x14ac:dyDescent="0.4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82"/>
      <c r="U2678" s="182"/>
    </row>
    <row r="2679" spans="1:21" ht="14.5" x14ac:dyDescent="0.4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82"/>
      <c r="U2679" s="182"/>
    </row>
    <row r="2680" spans="1:21" ht="14.5" x14ac:dyDescent="0.4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82"/>
      <c r="U2680" s="182"/>
    </row>
    <row r="2681" spans="1:21" ht="14.5" x14ac:dyDescent="0.4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82"/>
      <c r="U2681" s="182"/>
    </row>
    <row r="2682" spans="1:21" ht="14.5" x14ac:dyDescent="0.4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82"/>
      <c r="U2682" s="182"/>
    </row>
    <row r="2683" spans="1:21" ht="14.5" x14ac:dyDescent="0.4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82"/>
      <c r="U2683" s="182"/>
    </row>
    <row r="2684" spans="1:21" ht="14.5" x14ac:dyDescent="0.4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82"/>
      <c r="U2684" s="182"/>
    </row>
    <row r="2685" spans="1:21" ht="14.5" x14ac:dyDescent="0.4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82"/>
      <c r="U2685" s="182"/>
    </row>
    <row r="2686" spans="1:21" ht="14.5" x14ac:dyDescent="0.4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82"/>
      <c r="U2686" s="182"/>
    </row>
    <row r="2687" spans="1:21" ht="14.5" x14ac:dyDescent="0.4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82"/>
      <c r="U2687" s="182"/>
    </row>
    <row r="2688" spans="1:21" ht="14.5" x14ac:dyDescent="0.4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82"/>
      <c r="U2688" s="182"/>
    </row>
    <row r="2689" spans="1:21" ht="14.5" x14ac:dyDescent="0.4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82"/>
      <c r="U2689" s="182"/>
    </row>
    <row r="2690" spans="1:21" ht="14.5" x14ac:dyDescent="0.4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82"/>
      <c r="U2690" s="182"/>
    </row>
    <row r="2691" spans="1:21" ht="14.5" x14ac:dyDescent="0.4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82"/>
      <c r="U2691" s="182"/>
    </row>
    <row r="2692" spans="1:21" ht="14.5" x14ac:dyDescent="0.4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82"/>
      <c r="U2692" s="182"/>
    </row>
    <row r="2693" spans="1:21" ht="14.5" x14ac:dyDescent="0.4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82"/>
      <c r="U2693" s="182"/>
    </row>
    <row r="2694" spans="1:21" ht="14.5" x14ac:dyDescent="0.4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82"/>
      <c r="U2694" s="182"/>
    </row>
    <row r="2695" spans="1:21" ht="14.5" x14ac:dyDescent="0.4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82"/>
      <c r="U2695" s="182"/>
    </row>
    <row r="2696" spans="1:21" ht="14.5" x14ac:dyDescent="0.4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82"/>
      <c r="U2696" s="182"/>
    </row>
    <row r="2697" spans="1:21" ht="14.5" x14ac:dyDescent="0.4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82"/>
      <c r="U2697" s="182"/>
    </row>
    <row r="2698" spans="1:21" ht="14.5" x14ac:dyDescent="0.4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82"/>
      <c r="U2698" s="182"/>
    </row>
    <row r="2699" spans="1:21" ht="14.5" x14ac:dyDescent="0.4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82"/>
      <c r="U2699" s="182"/>
    </row>
    <row r="2700" spans="1:21" ht="14.5" x14ac:dyDescent="0.4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82"/>
      <c r="U2700" s="182"/>
    </row>
    <row r="2701" spans="1:21" ht="14.5" x14ac:dyDescent="0.4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82"/>
      <c r="U2701" s="182"/>
    </row>
    <row r="2702" spans="1:21" ht="14.5" x14ac:dyDescent="0.4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82"/>
      <c r="U2702" s="182"/>
    </row>
    <row r="2703" spans="1:21" ht="14.5" x14ac:dyDescent="0.4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82"/>
      <c r="U2703" s="182"/>
    </row>
    <row r="2704" spans="1:21" ht="14.5" x14ac:dyDescent="0.4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82"/>
      <c r="U2704" s="182"/>
    </row>
    <row r="2705" spans="1:21" ht="14.5" x14ac:dyDescent="0.4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82"/>
      <c r="U2705" s="182"/>
    </row>
    <row r="2706" spans="1:21" ht="14.5" x14ac:dyDescent="0.4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82"/>
      <c r="U2706" s="182"/>
    </row>
    <row r="2707" spans="1:21" ht="14.5" x14ac:dyDescent="0.4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82"/>
      <c r="U2707" s="182"/>
    </row>
    <row r="2708" spans="1:21" ht="14.5" x14ac:dyDescent="0.4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82"/>
      <c r="U2708" s="182"/>
    </row>
    <row r="2709" spans="1:21" ht="14.5" x14ac:dyDescent="0.4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82"/>
      <c r="U2709" s="182"/>
    </row>
    <row r="2710" spans="1:21" ht="14.5" x14ac:dyDescent="0.4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82"/>
      <c r="U2710" s="182"/>
    </row>
    <row r="2711" spans="1:21" ht="14.5" x14ac:dyDescent="0.4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82"/>
      <c r="U2711" s="182"/>
    </row>
    <row r="2712" spans="1:21" ht="14.5" x14ac:dyDescent="0.4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82"/>
      <c r="U2712" s="182"/>
    </row>
    <row r="2713" spans="1:21" ht="14.5" x14ac:dyDescent="0.4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82"/>
      <c r="U2713" s="182"/>
    </row>
    <row r="2714" spans="1:21" ht="14.5" x14ac:dyDescent="0.4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82"/>
      <c r="U2714" s="182"/>
    </row>
    <row r="2715" spans="1:21" ht="14.5" x14ac:dyDescent="0.4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82"/>
      <c r="U2715" s="182"/>
    </row>
    <row r="2716" spans="1:21" ht="14.5" x14ac:dyDescent="0.4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82"/>
      <c r="U2716" s="182"/>
    </row>
    <row r="2717" spans="1:21" ht="14.5" x14ac:dyDescent="0.4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82"/>
      <c r="U2717" s="182"/>
    </row>
    <row r="2718" spans="1:21" ht="14.5" x14ac:dyDescent="0.4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82"/>
      <c r="U2718" s="182"/>
    </row>
    <row r="2719" spans="1:21" ht="14.5" x14ac:dyDescent="0.4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82"/>
      <c r="U2719" s="182"/>
    </row>
    <row r="2720" spans="1:21" ht="14.5" x14ac:dyDescent="0.4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82"/>
      <c r="U2720" s="182"/>
    </row>
    <row r="2721" spans="1:21" ht="14.5" x14ac:dyDescent="0.4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82"/>
      <c r="U2721" s="182"/>
    </row>
    <row r="2722" spans="1:21" ht="14.5" x14ac:dyDescent="0.4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82"/>
      <c r="U2722" s="182"/>
    </row>
    <row r="2723" spans="1:21" ht="14.5" x14ac:dyDescent="0.4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82"/>
      <c r="U2723" s="182"/>
    </row>
    <row r="2724" spans="1:21" ht="14.5" x14ac:dyDescent="0.4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82"/>
      <c r="U2724" s="182"/>
    </row>
    <row r="2725" spans="1:21" ht="14.5" x14ac:dyDescent="0.4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82"/>
      <c r="U2725" s="182"/>
    </row>
    <row r="2726" spans="1:21" ht="14.5" x14ac:dyDescent="0.4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82"/>
      <c r="U2726" s="182"/>
    </row>
    <row r="2727" spans="1:21" ht="14.5" x14ac:dyDescent="0.4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82"/>
      <c r="U2727" s="182"/>
    </row>
    <row r="2728" spans="1:21" ht="14.5" x14ac:dyDescent="0.4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82"/>
      <c r="U2728" s="182"/>
    </row>
    <row r="2729" spans="1:21" ht="14.5" x14ac:dyDescent="0.4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82"/>
      <c r="U2729" s="182"/>
    </row>
    <row r="2730" spans="1:21" ht="14.5" x14ac:dyDescent="0.4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82"/>
      <c r="U2730" s="182"/>
    </row>
    <row r="2731" spans="1:21" ht="14.5" x14ac:dyDescent="0.4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82"/>
      <c r="U2731" s="182"/>
    </row>
    <row r="2732" spans="1:21" ht="14.5" x14ac:dyDescent="0.4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82"/>
      <c r="U2732" s="182"/>
    </row>
    <row r="2733" spans="1:21" ht="14.5" x14ac:dyDescent="0.4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82"/>
      <c r="U2733" s="182"/>
    </row>
    <row r="2734" spans="1:21" ht="14.5" x14ac:dyDescent="0.4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82"/>
      <c r="U2734" s="182"/>
    </row>
    <row r="2735" spans="1:21" ht="14.5" x14ac:dyDescent="0.4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82"/>
      <c r="U2735" s="182"/>
    </row>
    <row r="2736" spans="1:21" ht="14.5" x14ac:dyDescent="0.4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82"/>
      <c r="U2736" s="182"/>
    </row>
    <row r="2737" spans="1:21" ht="14.5" x14ac:dyDescent="0.4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82"/>
      <c r="U2737" s="182"/>
    </row>
    <row r="2738" spans="1:21" ht="14.5" x14ac:dyDescent="0.4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82"/>
      <c r="U2738" s="182"/>
    </row>
    <row r="2739" spans="1:21" ht="14.5" x14ac:dyDescent="0.4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82"/>
      <c r="U2739" s="182"/>
    </row>
    <row r="2740" spans="1:21" ht="14.5" x14ac:dyDescent="0.4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82"/>
      <c r="U2740" s="182"/>
    </row>
    <row r="2741" spans="1:21" ht="14.5" x14ac:dyDescent="0.4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82"/>
      <c r="U2741" s="182"/>
    </row>
    <row r="2742" spans="1:21" ht="14.5" x14ac:dyDescent="0.4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82"/>
      <c r="U2742" s="182"/>
    </row>
    <row r="2743" spans="1:21" ht="14.5" x14ac:dyDescent="0.4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82"/>
      <c r="U2743" s="182"/>
    </row>
    <row r="2744" spans="1:21" ht="14.5" x14ac:dyDescent="0.4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82"/>
      <c r="U2744" s="182"/>
    </row>
    <row r="2745" spans="1:21" ht="14.5" x14ac:dyDescent="0.4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82"/>
      <c r="U2745" s="182"/>
    </row>
    <row r="2746" spans="1:21" ht="14.5" x14ac:dyDescent="0.4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82"/>
      <c r="U2746" s="182"/>
    </row>
    <row r="2747" spans="1:21" ht="14.5" x14ac:dyDescent="0.4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82"/>
      <c r="U2747" s="182"/>
    </row>
    <row r="2748" spans="1:21" ht="14.5" x14ac:dyDescent="0.4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82"/>
      <c r="U2748" s="182"/>
    </row>
    <row r="2749" spans="1:21" ht="14.5" x14ac:dyDescent="0.4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82"/>
      <c r="U2749" s="182"/>
    </row>
    <row r="2750" spans="1:21" ht="14.5" x14ac:dyDescent="0.4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82"/>
      <c r="U2750" s="182"/>
    </row>
    <row r="2751" spans="1:21" ht="14.5" x14ac:dyDescent="0.4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82"/>
      <c r="U2751" s="182"/>
    </row>
    <row r="2752" spans="1:21" ht="14.5" x14ac:dyDescent="0.4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82"/>
      <c r="U2752" s="182"/>
    </row>
    <row r="2753" spans="1:21" ht="14.5" x14ac:dyDescent="0.4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82"/>
      <c r="U2753" s="182"/>
    </row>
    <row r="2754" spans="1:21" ht="14.5" x14ac:dyDescent="0.4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82"/>
      <c r="U2754" s="182"/>
    </row>
    <row r="2755" spans="1:21" ht="14.5" x14ac:dyDescent="0.4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82"/>
      <c r="U2755" s="182"/>
    </row>
    <row r="2756" spans="1:21" ht="14.5" x14ac:dyDescent="0.4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82"/>
      <c r="U2756" s="182"/>
    </row>
    <row r="2757" spans="1:21" ht="14.5" x14ac:dyDescent="0.4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82"/>
      <c r="U2757" s="182"/>
    </row>
    <row r="2758" spans="1:21" ht="14.5" x14ac:dyDescent="0.4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82"/>
      <c r="U2758" s="182"/>
    </row>
    <row r="2759" spans="1:21" ht="14.5" x14ac:dyDescent="0.4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82"/>
      <c r="U2759" s="182"/>
    </row>
    <row r="2760" spans="1:21" ht="14.5" x14ac:dyDescent="0.4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82"/>
      <c r="U2760" s="182"/>
    </row>
    <row r="2761" spans="1:21" ht="14.5" x14ac:dyDescent="0.4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82"/>
      <c r="U2761" s="182"/>
    </row>
    <row r="2762" spans="1:21" ht="14.5" x14ac:dyDescent="0.4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82"/>
      <c r="U2762" s="182"/>
    </row>
    <row r="2763" spans="1:21" ht="14.5" x14ac:dyDescent="0.4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82"/>
      <c r="U2763" s="182"/>
    </row>
    <row r="2764" spans="1:21" ht="14.5" x14ac:dyDescent="0.4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82"/>
      <c r="U2764" s="182"/>
    </row>
    <row r="2765" spans="1:21" ht="14.5" x14ac:dyDescent="0.4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82"/>
      <c r="U2765" s="182"/>
    </row>
    <row r="2766" spans="1:21" ht="14.5" x14ac:dyDescent="0.4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82"/>
      <c r="U2766" s="182"/>
    </row>
    <row r="2767" spans="1:21" ht="14.5" x14ac:dyDescent="0.4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82"/>
      <c r="U2767" s="182"/>
    </row>
    <row r="2768" spans="1:21" ht="14.5" x14ac:dyDescent="0.4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82"/>
      <c r="U2768" s="182"/>
    </row>
    <row r="2769" spans="1:21" ht="14.5" x14ac:dyDescent="0.4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82"/>
      <c r="U2769" s="182"/>
    </row>
    <row r="2770" spans="1:21" ht="14.5" x14ac:dyDescent="0.4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82"/>
      <c r="U2770" s="182"/>
    </row>
    <row r="2771" spans="1:21" ht="14.5" x14ac:dyDescent="0.4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82"/>
      <c r="U2771" s="182"/>
    </row>
    <row r="2772" spans="1:21" ht="14.5" x14ac:dyDescent="0.4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82"/>
      <c r="U2772" s="182"/>
    </row>
    <row r="2773" spans="1:21" ht="14.5" x14ac:dyDescent="0.4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82"/>
      <c r="U2773" s="182"/>
    </row>
    <row r="2774" spans="1:21" ht="14.5" x14ac:dyDescent="0.4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82"/>
      <c r="U2774" s="182"/>
    </row>
    <row r="2775" spans="1:21" ht="14.5" x14ac:dyDescent="0.4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82"/>
      <c r="U2775" s="182"/>
    </row>
    <row r="2776" spans="1:21" ht="14.5" x14ac:dyDescent="0.4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82"/>
      <c r="U2776" s="182"/>
    </row>
    <row r="2777" spans="1:21" ht="14.5" x14ac:dyDescent="0.4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82"/>
      <c r="U2777" s="182"/>
    </row>
    <row r="2778" spans="1:21" ht="14.5" x14ac:dyDescent="0.4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82"/>
      <c r="U2778" s="182"/>
    </row>
    <row r="2779" spans="1:21" ht="14.5" x14ac:dyDescent="0.4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82"/>
      <c r="U2779" s="182"/>
    </row>
    <row r="2780" spans="1:21" ht="14.5" x14ac:dyDescent="0.4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82"/>
      <c r="U2780" s="182"/>
    </row>
    <row r="2781" spans="1:21" ht="14.5" x14ac:dyDescent="0.4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82"/>
      <c r="U2781" s="182"/>
    </row>
    <row r="2782" spans="1:21" ht="14.5" x14ac:dyDescent="0.4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82"/>
      <c r="U2782" s="182"/>
    </row>
    <row r="2783" spans="1:21" ht="14.5" x14ac:dyDescent="0.4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82"/>
      <c r="U2783" s="182"/>
    </row>
    <row r="2784" spans="1:21" ht="14.5" x14ac:dyDescent="0.4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82"/>
      <c r="U2784" s="182"/>
    </row>
    <row r="2785" spans="1:21" ht="14.5" x14ac:dyDescent="0.4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82"/>
      <c r="U2785" s="182"/>
    </row>
    <row r="2786" spans="1:21" ht="14.5" x14ac:dyDescent="0.4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82"/>
      <c r="U2786" s="182"/>
    </row>
    <row r="2787" spans="1:21" ht="14.5" x14ac:dyDescent="0.4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82"/>
      <c r="U2787" s="182"/>
    </row>
    <row r="2788" spans="1:21" ht="14.5" x14ac:dyDescent="0.4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82"/>
      <c r="U2788" s="182"/>
    </row>
    <row r="2789" spans="1:21" ht="14.5" x14ac:dyDescent="0.4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82"/>
      <c r="U2789" s="182"/>
    </row>
    <row r="2790" spans="1:21" ht="14.5" x14ac:dyDescent="0.4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82"/>
      <c r="U2790" s="182"/>
    </row>
    <row r="2791" spans="1:21" ht="14.5" x14ac:dyDescent="0.4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82"/>
      <c r="U2791" s="182"/>
    </row>
    <row r="2792" spans="1:21" ht="14.5" x14ac:dyDescent="0.4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82"/>
      <c r="U2792" s="182"/>
    </row>
    <row r="2793" spans="1:21" ht="14.5" x14ac:dyDescent="0.4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82"/>
      <c r="U2793" s="182"/>
    </row>
    <row r="2794" spans="1:21" ht="14.5" x14ac:dyDescent="0.4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82"/>
      <c r="U2794" s="182"/>
    </row>
    <row r="2795" spans="1:21" ht="14.5" x14ac:dyDescent="0.4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82"/>
      <c r="U2795" s="182"/>
    </row>
    <row r="2796" spans="1:21" ht="14.5" x14ac:dyDescent="0.4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82"/>
      <c r="U2796" s="182"/>
    </row>
    <row r="2797" spans="1:21" ht="14.5" x14ac:dyDescent="0.4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82"/>
      <c r="U2797" s="182"/>
    </row>
    <row r="2798" spans="1:21" ht="14.5" x14ac:dyDescent="0.4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82"/>
      <c r="U2798" s="182"/>
    </row>
    <row r="2799" spans="1:21" ht="14.5" x14ac:dyDescent="0.4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82"/>
      <c r="U2799" s="182"/>
    </row>
    <row r="2800" spans="1:21" ht="14.5" x14ac:dyDescent="0.4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82"/>
      <c r="U2800" s="182"/>
    </row>
    <row r="2801" spans="1:21" ht="14.5" x14ac:dyDescent="0.4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82"/>
      <c r="U2801" s="182"/>
    </row>
    <row r="2802" spans="1:21" ht="14.5" x14ac:dyDescent="0.4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82"/>
      <c r="U2802" s="182"/>
    </row>
    <row r="2803" spans="1:21" ht="14.5" x14ac:dyDescent="0.4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82"/>
      <c r="U2803" s="182"/>
    </row>
    <row r="2804" spans="1:21" ht="14.5" x14ac:dyDescent="0.4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82"/>
      <c r="U2804" s="182"/>
    </row>
    <row r="2805" spans="1:21" ht="14.5" x14ac:dyDescent="0.4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82"/>
      <c r="U2805" s="182"/>
    </row>
    <row r="2806" spans="1:21" ht="14.5" x14ac:dyDescent="0.4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82"/>
      <c r="U2806" s="182"/>
    </row>
    <row r="2807" spans="1:21" ht="14.5" x14ac:dyDescent="0.4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82"/>
      <c r="U2807" s="182"/>
    </row>
    <row r="2808" spans="1:21" ht="14.5" x14ac:dyDescent="0.4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82"/>
      <c r="U2808" s="182"/>
    </row>
    <row r="2809" spans="1:21" ht="14.5" x14ac:dyDescent="0.4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82"/>
      <c r="U2809" s="182"/>
    </row>
    <row r="2810" spans="1:21" ht="14.5" x14ac:dyDescent="0.4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82"/>
      <c r="U2810" s="182"/>
    </row>
    <row r="2811" spans="1:21" ht="14.5" x14ac:dyDescent="0.4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82"/>
      <c r="U2811" s="182"/>
    </row>
    <row r="2812" spans="1:21" ht="14.5" x14ac:dyDescent="0.4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82"/>
      <c r="U2812" s="182"/>
    </row>
    <row r="2813" spans="1:21" ht="14.5" x14ac:dyDescent="0.4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82"/>
      <c r="U2813" s="182"/>
    </row>
    <row r="2814" spans="1:21" ht="14.5" x14ac:dyDescent="0.4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82"/>
      <c r="U2814" s="182"/>
    </row>
    <row r="2815" spans="1:21" ht="14.5" x14ac:dyDescent="0.4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82"/>
      <c r="U2815" s="182"/>
    </row>
    <row r="2816" spans="1:21" ht="14.5" x14ac:dyDescent="0.4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82"/>
      <c r="U2816" s="182"/>
    </row>
    <row r="2817" spans="1:21" ht="14.5" x14ac:dyDescent="0.4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82"/>
      <c r="U2817" s="182"/>
    </row>
    <row r="2818" spans="1:21" ht="14.5" x14ac:dyDescent="0.4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82"/>
      <c r="U2818" s="182"/>
    </row>
    <row r="2819" spans="1:21" ht="14.5" x14ac:dyDescent="0.4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82"/>
      <c r="U2819" s="182"/>
    </row>
    <row r="2820" spans="1:21" ht="14.5" x14ac:dyDescent="0.4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82"/>
      <c r="U2820" s="182"/>
    </row>
    <row r="2821" spans="1:21" ht="14.5" x14ac:dyDescent="0.4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82"/>
      <c r="U2821" s="182"/>
    </row>
    <row r="2822" spans="1:21" ht="14.5" x14ac:dyDescent="0.4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82"/>
      <c r="U2822" s="182"/>
    </row>
    <row r="2823" spans="1:21" ht="14.5" x14ac:dyDescent="0.4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82"/>
      <c r="U2823" s="182"/>
    </row>
    <row r="2824" spans="1:21" ht="14.5" x14ac:dyDescent="0.4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82"/>
      <c r="U2824" s="182"/>
    </row>
    <row r="2825" spans="1:21" ht="14.5" x14ac:dyDescent="0.4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82"/>
      <c r="U2825" s="182"/>
    </row>
    <row r="2826" spans="1:21" ht="14.5" x14ac:dyDescent="0.4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82"/>
      <c r="U2826" s="182"/>
    </row>
    <row r="2827" spans="1:21" ht="14.5" x14ac:dyDescent="0.4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82"/>
      <c r="U2827" s="182"/>
    </row>
    <row r="2828" spans="1:21" ht="14.5" x14ac:dyDescent="0.4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82"/>
      <c r="U2828" s="182"/>
    </row>
    <row r="2829" spans="1:21" ht="14.5" x14ac:dyDescent="0.4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82"/>
      <c r="U2829" s="182"/>
    </row>
    <row r="2830" spans="1:21" ht="14.5" x14ac:dyDescent="0.4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82"/>
      <c r="U2830" s="182"/>
    </row>
    <row r="2831" spans="1:21" ht="14.5" x14ac:dyDescent="0.4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82"/>
      <c r="U2831" s="182"/>
    </row>
    <row r="2832" spans="1:21" ht="14.5" x14ac:dyDescent="0.4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82"/>
      <c r="U2832" s="182"/>
    </row>
    <row r="2833" spans="1:21" ht="14.5" x14ac:dyDescent="0.4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82"/>
      <c r="U2833" s="182"/>
    </row>
    <row r="2834" spans="1:21" ht="14.5" x14ac:dyDescent="0.4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82"/>
      <c r="U2834" s="182"/>
    </row>
    <row r="2835" spans="1:21" ht="14.5" x14ac:dyDescent="0.4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82"/>
      <c r="U2835" s="182"/>
    </row>
    <row r="2836" spans="1:21" ht="14.5" x14ac:dyDescent="0.4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82"/>
      <c r="U2836" s="182"/>
    </row>
    <row r="2837" spans="1:21" ht="14.5" x14ac:dyDescent="0.4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82"/>
      <c r="U2837" s="182"/>
    </row>
    <row r="2838" spans="1:21" ht="14.5" x14ac:dyDescent="0.4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82"/>
      <c r="U2838" s="182"/>
    </row>
    <row r="2839" spans="1:21" ht="14.5" x14ac:dyDescent="0.4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82"/>
      <c r="U2839" s="182"/>
    </row>
    <row r="2840" spans="1:21" ht="14.5" x14ac:dyDescent="0.4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82"/>
      <c r="U2840" s="182"/>
    </row>
    <row r="2841" spans="1:21" ht="14.5" x14ac:dyDescent="0.4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82"/>
      <c r="U2841" s="182"/>
    </row>
    <row r="2842" spans="1:21" ht="14.5" x14ac:dyDescent="0.4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82"/>
      <c r="U2842" s="182"/>
    </row>
    <row r="2843" spans="1:21" ht="14.5" x14ac:dyDescent="0.4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82"/>
      <c r="U2843" s="182"/>
    </row>
    <row r="2844" spans="1:21" ht="14.5" x14ac:dyDescent="0.4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82"/>
      <c r="U2844" s="182"/>
    </row>
    <row r="2845" spans="1:21" ht="14.5" x14ac:dyDescent="0.4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82"/>
      <c r="U2845" s="182"/>
    </row>
    <row r="2846" spans="1:21" ht="14.5" x14ac:dyDescent="0.4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82"/>
      <c r="U2846" s="182"/>
    </row>
    <row r="2847" spans="1:21" ht="14.5" x14ac:dyDescent="0.4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82"/>
      <c r="U2847" s="182"/>
    </row>
    <row r="2848" spans="1:21" ht="14.5" x14ac:dyDescent="0.4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82"/>
      <c r="U2848" s="182"/>
    </row>
    <row r="2849" spans="1:21" ht="14.5" x14ac:dyDescent="0.4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82"/>
      <c r="U2849" s="182"/>
    </row>
    <row r="2850" spans="1:21" ht="14.5" x14ac:dyDescent="0.4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82"/>
      <c r="U2850" s="182"/>
    </row>
    <row r="2851" spans="1:21" ht="14.5" x14ac:dyDescent="0.4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82"/>
      <c r="U2851" s="182"/>
    </row>
    <row r="2852" spans="1:21" ht="14.5" x14ac:dyDescent="0.4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82"/>
      <c r="U2852" s="182"/>
    </row>
    <row r="2853" spans="1:21" ht="14.5" x14ac:dyDescent="0.4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82"/>
      <c r="U2853" s="182"/>
    </row>
    <row r="2854" spans="1:21" ht="14.5" x14ac:dyDescent="0.4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82"/>
      <c r="U2854" s="182"/>
    </row>
    <row r="2855" spans="1:21" ht="14.5" x14ac:dyDescent="0.4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82"/>
      <c r="U2855" s="182"/>
    </row>
    <row r="2856" spans="1:21" ht="14.5" x14ac:dyDescent="0.4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82"/>
      <c r="U2856" s="182"/>
    </row>
    <row r="2857" spans="1:21" ht="14.5" x14ac:dyDescent="0.4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82"/>
      <c r="U2857" s="182"/>
    </row>
    <row r="2858" spans="1:21" ht="14.5" x14ac:dyDescent="0.4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82"/>
      <c r="U2858" s="182"/>
    </row>
    <row r="2859" spans="1:21" ht="14.5" x14ac:dyDescent="0.4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82"/>
      <c r="U2859" s="182"/>
    </row>
    <row r="2860" spans="1:21" ht="14.5" x14ac:dyDescent="0.4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82"/>
      <c r="U2860" s="182"/>
    </row>
    <row r="2861" spans="1:21" ht="14.5" x14ac:dyDescent="0.4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82"/>
      <c r="U2861" s="182"/>
    </row>
    <row r="2862" spans="1:21" ht="14.5" x14ac:dyDescent="0.4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82"/>
      <c r="U2862" s="182"/>
    </row>
    <row r="2863" spans="1:21" ht="14.5" x14ac:dyDescent="0.4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82"/>
      <c r="U2863" s="182"/>
    </row>
    <row r="2864" spans="1:21" ht="14.5" x14ac:dyDescent="0.4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82"/>
      <c r="U2864" s="182"/>
    </row>
    <row r="2865" spans="1:21" ht="14.5" x14ac:dyDescent="0.4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82"/>
      <c r="U2865" s="182"/>
    </row>
    <row r="2866" spans="1:21" ht="14.5" x14ac:dyDescent="0.4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82"/>
      <c r="U2866" s="182"/>
    </row>
    <row r="2867" spans="1:21" ht="14.5" x14ac:dyDescent="0.4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82"/>
      <c r="U2867" s="182"/>
    </row>
    <row r="2868" spans="1:21" ht="14.5" x14ac:dyDescent="0.4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82"/>
      <c r="U2868" s="182"/>
    </row>
    <row r="2869" spans="1:21" ht="14.5" x14ac:dyDescent="0.4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82"/>
      <c r="U2869" s="182"/>
    </row>
    <row r="2870" spans="1:21" ht="14.5" x14ac:dyDescent="0.4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82"/>
      <c r="U2870" s="182"/>
    </row>
    <row r="2871" spans="1:21" ht="14.5" x14ac:dyDescent="0.4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82"/>
      <c r="U2871" s="182"/>
    </row>
    <row r="2872" spans="1:21" ht="14.5" x14ac:dyDescent="0.4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82"/>
      <c r="U2872" s="182"/>
    </row>
    <row r="2873" spans="1:21" ht="14.5" x14ac:dyDescent="0.4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82"/>
      <c r="U2873" s="182"/>
    </row>
    <row r="2874" spans="1:21" ht="14.5" x14ac:dyDescent="0.4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82"/>
      <c r="U2874" s="182"/>
    </row>
    <row r="2875" spans="1:21" ht="14.5" x14ac:dyDescent="0.4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82"/>
      <c r="U2875" s="182"/>
    </row>
    <row r="2876" spans="1:21" ht="14.5" x14ac:dyDescent="0.4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82"/>
      <c r="U2876" s="182"/>
    </row>
    <row r="2877" spans="1:21" ht="14.5" x14ac:dyDescent="0.4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82"/>
      <c r="U2877" s="182"/>
    </row>
    <row r="2878" spans="1:21" ht="14.5" x14ac:dyDescent="0.4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82"/>
      <c r="U2878" s="182"/>
    </row>
    <row r="2879" spans="1:21" ht="14.5" x14ac:dyDescent="0.4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82"/>
      <c r="U2879" s="182"/>
    </row>
    <row r="2880" spans="1:21" ht="14.5" x14ac:dyDescent="0.4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82"/>
      <c r="U2880" s="182"/>
    </row>
    <row r="2881" spans="1:21" ht="14.5" x14ac:dyDescent="0.4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82"/>
      <c r="U2881" s="182"/>
    </row>
    <row r="2882" spans="1:21" ht="14.5" x14ac:dyDescent="0.4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82"/>
      <c r="U2882" s="182"/>
    </row>
    <row r="2883" spans="1:21" ht="14.5" x14ac:dyDescent="0.4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82"/>
      <c r="U2883" s="182"/>
    </row>
    <row r="2884" spans="1:21" ht="14.5" x14ac:dyDescent="0.4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82"/>
      <c r="U2884" s="182"/>
    </row>
    <row r="2885" spans="1:21" ht="14.5" x14ac:dyDescent="0.4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82"/>
      <c r="U2885" s="182"/>
    </row>
    <row r="2886" spans="1:21" ht="14.5" x14ac:dyDescent="0.4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82"/>
      <c r="U2886" s="182"/>
    </row>
    <row r="2887" spans="1:21" ht="14.5" x14ac:dyDescent="0.4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82"/>
      <c r="U2887" s="182"/>
    </row>
    <row r="2888" spans="1:21" ht="14.5" x14ac:dyDescent="0.4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82"/>
      <c r="U2888" s="182"/>
    </row>
    <row r="2889" spans="1:21" ht="14.5" x14ac:dyDescent="0.4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82"/>
      <c r="U2889" s="182"/>
    </row>
    <row r="2890" spans="1:21" ht="14.5" x14ac:dyDescent="0.4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82"/>
      <c r="U2890" s="182"/>
    </row>
    <row r="2891" spans="1:21" ht="14.5" x14ac:dyDescent="0.4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82"/>
      <c r="U2891" s="182"/>
    </row>
    <row r="2892" spans="1:21" ht="14.5" x14ac:dyDescent="0.4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82"/>
      <c r="U2892" s="182"/>
    </row>
    <row r="2893" spans="1:21" ht="14.5" x14ac:dyDescent="0.4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82"/>
      <c r="U2893" s="182"/>
    </row>
    <row r="2894" spans="1:21" ht="14.5" x14ac:dyDescent="0.4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82"/>
      <c r="U2894" s="182"/>
    </row>
    <row r="2895" spans="1:21" ht="14.5" x14ac:dyDescent="0.4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82"/>
      <c r="U2895" s="182"/>
    </row>
    <row r="2896" spans="1:21" ht="14.5" x14ac:dyDescent="0.4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82"/>
      <c r="U2896" s="182"/>
    </row>
    <row r="2897" spans="1:21" ht="14.5" x14ac:dyDescent="0.4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82"/>
      <c r="U2897" s="182"/>
    </row>
    <row r="2898" spans="1:21" ht="14.5" x14ac:dyDescent="0.4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82"/>
      <c r="U2898" s="182"/>
    </row>
    <row r="2899" spans="1:21" ht="14.5" x14ac:dyDescent="0.4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82"/>
      <c r="U2899" s="182"/>
    </row>
    <row r="2900" spans="1:21" ht="14.5" x14ac:dyDescent="0.4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82"/>
      <c r="U2900" s="182"/>
    </row>
    <row r="2901" spans="1:21" ht="14.5" x14ac:dyDescent="0.4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82"/>
      <c r="U2901" s="182"/>
    </row>
    <row r="2902" spans="1:21" ht="14.5" x14ac:dyDescent="0.4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82"/>
      <c r="U2902" s="182"/>
    </row>
    <row r="2903" spans="1:21" ht="14.5" x14ac:dyDescent="0.4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82"/>
      <c r="U2903" s="182"/>
    </row>
    <row r="2904" spans="1:21" ht="14.5" x14ac:dyDescent="0.4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82"/>
      <c r="U2904" s="182"/>
    </row>
    <row r="2905" spans="1:21" ht="14.5" x14ac:dyDescent="0.4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82"/>
      <c r="U2905" s="182"/>
    </row>
    <row r="2906" spans="1:21" ht="14.5" x14ac:dyDescent="0.4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82"/>
      <c r="U2906" s="182"/>
    </row>
    <row r="2907" spans="1:21" ht="14.5" x14ac:dyDescent="0.4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82"/>
      <c r="U2907" s="182"/>
    </row>
    <row r="2908" spans="1:21" ht="14.5" x14ac:dyDescent="0.4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82"/>
      <c r="U2908" s="182"/>
    </row>
    <row r="2909" spans="1:21" ht="14.5" x14ac:dyDescent="0.4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82"/>
      <c r="U2909" s="182"/>
    </row>
    <row r="2910" spans="1:21" ht="14.5" x14ac:dyDescent="0.4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82"/>
      <c r="U2910" s="182"/>
    </row>
    <row r="2911" spans="1:21" ht="14.5" x14ac:dyDescent="0.4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82"/>
      <c r="U2911" s="182"/>
    </row>
    <row r="2912" spans="1:21" ht="14.5" x14ac:dyDescent="0.4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82"/>
      <c r="U2912" s="182"/>
    </row>
    <row r="2913" spans="1:21" ht="14.5" x14ac:dyDescent="0.4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82"/>
      <c r="U2913" s="182"/>
    </row>
    <row r="2914" spans="1:21" ht="14.5" x14ac:dyDescent="0.4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82"/>
      <c r="U2914" s="182"/>
    </row>
    <row r="2915" spans="1:21" ht="14.5" x14ac:dyDescent="0.4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82"/>
      <c r="U2915" s="182"/>
    </row>
    <row r="2916" spans="1:21" ht="14.5" x14ac:dyDescent="0.4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82"/>
      <c r="U2916" s="182"/>
    </row>
    <row r="2917" spans="1:21" ht="14.5" x14ac:dyDescent="0.4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82"/>
      <c r="U2917" s="182"/>
    </row>
    <row r="2918" spans="1:21" ht="14.5" x14ac:dyDescent="0.4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82"/>
      <c r="U2918" s="182"/>
    </row>
    <row r="2919" spans="1:21" ht="14.5" x14ac:dyDescent="0.4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82"/>
      <c r="U2919" s="182"/>
    </row>
    <row r="2920" spans="1:21" ht="14.5" x14ac:dyDescent="0.4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82"/>
      <c r="U2920" s="182"/>
    </row>
    <row r="2921" spans="1:21" ht="14.5" x14ac:dyDescent="0.4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82"/>
      <c r="U2921" s="182"/>
    </row>
    <row r="2922" spans="1:21" ht="14.5" x14ac:dyDescent="0.4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82"/>
      <c r="U2922" s="182"/>
    </row>
    <row r="2923" spans="1:21" ht="14.5" x14ac:dyDescent="0.4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82"/>
      <c r="U2923" s="182"/>
    </row>
    <row r="2924" spans="1:21" ht="14.5" x14ac:dyDescent="0.4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82"/>
      <c r="U2924" s="182"/>
    </row>
    <row r="2925" spans="1:21" ht="14.5" x14ac:dyDescent="0.4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82"/>
      <c r="U2925" s="182"/>
    </row>
    <row r="2926" spans="1:21" ht="14.5" x14ac:dyDescent="0.4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82"/>
      <c r="U2926" s="182"/>
    </row>
    <row r="2927" spans="1:21" ht="14.5" x14ac:dyDescent="0.4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82"/>
      <c r="U2927" s="182"/>
    </row>
    <row r="2928" spans="1:21" ht="14.5" x14ac:dyDescent="0.4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82"/>
      <c r="U2928" s="182"/>
    </row>
    <row r="2929" spans="1:21" ht="14.5" x14ac:dyDescent="0.4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82"/>
      <c r="U2929" s="182"/>
    </row>
    <row r="2930" spans="1:21" ht="14.5" x14ac:dyDescent="0.4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82"/>
      <c r="U2930" s="182"/>
    </row>
    <row r="2931" spans="1:21" ht="14.5" x14ac:dyDescent="0.4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82"/>
      <c r="U2931" s="182"/>
    </row>
    <row r="2932" spans="1:21" ht="14.5" x14ac:dyDescent="0.4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82"/>
      <c r="U2932" s="182"/>
    </row>
    <row r="2933" spans="1:21" ht="14.5" x14ac:dyDescent="0.4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82"/>
      <c r="U2933" s="182"/>
    </row>
    <row r="2934" spans="1:21" ht="14.5" x14ac:dyDescent="0.4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82"/>
      <c r="U2934" s="182"/>
    </row>
    <row r="2935" spans="1:21" ht="14.5" x14ac:dyDescent="0.4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82"/>
      <c r="U2935" s="182"/>
    </row>
    <row r="2936" spans="1:21" ht="14.5" x14ac:dyDescent="0.4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82"/>
      <c r="U2936" s="182"/>
    </row>
    <row r="2937" spans="1:21" ht="14.5" x14ac:dyDescent="0.4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82"/>
      <c r="U2937" s="182"/>
    </row>
    <row r="2938" spans="1:21" ht="14.5" x14ac:dyDescent="0.4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82"/>
      <c r="U2938" s="182"/>
    </row>
    <row r="2939" spans="1:21" ht="14.5" x14ac:dyDescent="0.4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82"/>
      <c r="U2939" s="182"/>
    </row>
    <row r="2940" spans="1:21" ht="14.5" x14ac:dyDescent="0.4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82"/>
      <c r="U2940" s="182"/>
    </row>
    <row r="2941" spans="1:21" ht="14.5" x14ac:dyDescent="0.4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82"/>
      <c r="U2941" s="182"/>
    </row>
    <row r="2942" spans="1:21" ht="14.5" x14ac:dyDescent="0.4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82"/>
      <c r="U2942" s="182"/>
    </row>
    <row r="2943" spans="1:21" ht="14.5" x14ac:dyDescent="0.4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82"/>
      <c r="U2943" s="182"/>
    </row>
    <row r="2944" spans="1:21" ht="14.5" x14ac:dyDescent="0.4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82"/>
      <c r="U2944" s="182"/>
    </row>
    <row r="2945" spans="1:21" ht="14.5" x14ac:dyDescent="0.4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82"/>
      <c r="U2945" s="182"/>
    </row>
    <row r="2946" spans="1:21" ht="14.5" x14ac:dyDescent="0.4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82"/>
      <c r="U2946" s="182"/>
    </row>
    <row r="2947" spans="1:21" ht="14.5" x14ac:dyDescent="0.4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82"/>
      <c r="U2947" s="182"/>
    </row>
    <row r="2948" spans="1:21" ht="14.5" x14ac:dyDescent="0.4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82"/>
      <c r="U2948" s="182"/>
    </row>
    <row r="2949" spans="1:21" ht="14.5" x14ac:dyDescent="0.4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82"/>
      <c r="U2949" s="182"/>
    </row>
    <row r="2950" spans="1:21" ht="14.5" x14ac:dyDescent="0.4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82"/>
      <c r="U2950" s="182"/>
    </row>
    <row r="2951" spans="1:21" ht="14.5" x14ac:dyDescent="0.4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82"/>
      <c r="U2951" s="182"/>
    </row>
    <row r="2952" spans="1:21" ht="14.5" x14ac:dyDescent="0.4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82"/>
      <c r="U2952" s="182"/>
    </row>
    <row r="2953" spans="1:21" ht="14.5" x14ac:dyDescent="0.4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82"/>
      <c r="U2953" s="182"/>
    </row>
    <row r="2954" spans="1:21" ht="14.5" x14ac:dyDescent="0.4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82"/>
      <c r="U2954" s="182"/>
    </row>
    <row r="2955" spans="1:21" ht="14.5" x14ac:dyDescent="0.4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82"/>
      <c r="U2955" s="182"/>
    </row>
    <row r="2956" spans="1:21" ht="14.5" x14ac:dyDescent="0.4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82"/>
      <c r="U2956" s="182"/>
    </row>
    <row r="2957" spans="1:21" ht="14.5" x14ac:dyDescent="0.4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82"/>
      <c r="U2957" s="182"/>
    </row>
    <row r="2958" spans="1:21" ht="14.5" x14ac:dyDescent="0.4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82"/>
      <c r="U2958" s="182"/>
    </row>
    <row r="2959" spans="1:21" ht="14.5" x14ac:dyDescent="0.4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82"/>
      <c r="U2959" s="182"/>
    </row>
    <row r="2960" spans="1:21" ht="14.5" x14ac:dyDescent="0.4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82"/>
      <c r="U2960" s="182"/>
    </row>
    <row r="2961" spans="1:21" ht="14.5" x14ac:dyDescent="0.4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82"/>
      <c r="U2961" s="182"/>
    </row>
    <row r="2962" spans="1:21" ht="14.5" x14ac:dyDescent="0.4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82"/>
      <c r="U2962" s="182"/>
    </row>
    <row r="2963" spans="1:21" ht="14.5" x14ac:dyDescent="0.4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82"/>
      <c r="U2963" s="182"/>
    </row>
    <row r="2964" spans="1:21" ht="14.5" x14ac:dyDescent="0.4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82"/>
      <c r="U2964" s="182"/>
    </row>
    <row r="2965" spans="1:21" ht="14.5" x14ac:dyDescent="0.4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82"/>
      <c r="U2965" s="182"/>
    </row>
    <row r="2966" spans="1:21" ht="14.5" x14ac:dyDescent="0.4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82"/>
      <c r="U2966" s="182"/>
    </row>
    <row r="2967" spans="1:21" ht="14.5" x14ac:dyDescent="0.4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82"/>
      <c r="U2967" s="182"/>
    </row>
    <row r="2968" spans="1:21" ht="14.5" x14ac:dyDescent="0.4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82"/>
      <c r="U2968" s="182"/>
    </row>
    <row r="2969" spans="1:21" ht="14.5" x14ac:dyDescent="0.4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82"/>
      <c r="U2969" s="182"/>
    </row>
    <row r="2970" spans="1:21" ht="14.5" x14ac:dyDescent="0.4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82"/>
      <c r="U2970" s="182"/>
    </row>
    <row r="2971" spans="1:21" ht="14.5" x14ac:dyDescent="0.4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82"/>
      <c r="U2971" s="182"/>
    </row>
    <row r="2972" spans="1:21" ht="14.5" x14ac:dyDescent="0.4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82"/>
      <c r="U2972" s="182"/>
    </row>
    <row r="2973" spans="1:21" ht="14.5" x14ac:dyDescent="0.4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82"/>
      <c r="U2973" s="182"/>
    </row>
    <row r="2974" spans="1:21" ht="14.5" x14ac:dyDescent="0.4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82"/>
      <c r="U2974" s="182"/>
    </row>
    <row r="2975" spans="1:21" ht="14.5" x14ac:dyDescent="0.4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82"/>
      <c r="U2975" s="182"/>
    </row>
    <row r="2976" spans="1:21" ht="14.5" x14ac:dyDescent="0.4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82"/>
      <c r="U2976" s="182"/>
    </row>
    <row r="2977" spans="1:21" ht="14.5" x14ac:dyDescent="0.4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82"/>
      <c r="U2977" s="182"/>
    </row>
    <row r="2978" spans="1:21" ht="14.5" x14ac:dyDescent="0.4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82"/>
      <c r="U2978" s="182"/>
    </row>
    <row r="2979" spans="1:21" ht="14.5" x14ac:dyDescent="0.4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82"/>
      <c r="U2979" s="182"/>
    </row>
    <row r="2980" spans="1:21" ht="14.5" x14ac:dyDescent="0.4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82"/>
      <c r="U2980" s="182"/>
    </row>
    <row r="2981" spans="1:21" ht="14.5" x14ac:dyDescent="0.4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82"/>
      <c r="U2981" s="182"/>
    </row>
    <row r="2982" spans="1:21" ht="14.5" x14ac:dyDescent="0.4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82"/>
      <c r="U2982" s="182"/>
    </row>
    <row r="2983" spans="1:21" ht="14.5" x14ac:dyDescent="0.4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82"/>
      <c r="U2983" s="182"/>
    </row>
    <row r="2984" spans="1:21" ht="14.5" x14ac:dyDescent="0.4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82"/>
      <c r="U2984" s="182"/>
    </row>
    <row r="2985" spans="1:21" ht="14.5" x14ac:dyDescent="0.4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82"/>
      <c r="U2985" s="182"/>
    </row>
    <row r="2986" spans="1:21" ht="14.5" x14ac:dyDescent="0.4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82"/>
      <c r="U2986" s="182"/>
    </row>
    <row r="2987" spans="1:21" ht="14.5" x14ac:dyDescent="0.4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82"/>
      <c r="U2987" s="182"/>
    </row>
    <row r="2988" spans="1:21" ht="14.5" x14ac:dyDescent="0.4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82"/>
      <c r="U2988" s="182"/>
    </row>
    <row r="2989" spans="1:21" ht="14.5" x14ac:dyDescent="0.4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82"/>
      <c r="U2989" s="182"/>
    </row>
    <row r="2990" spans="1:21" ht="14.5" x14ac:dyDescent="0.4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82"/>
      <c r="U2990" s="182"/>
    </row>
    <row r="2991" spans="1:21" ht="14.5" x14ac:dyDescent="0.4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82"/>
      <c r="U2991" s="182"/>
    </row>
    <row r="2992" spans="1:21" ht="14.5" x14ac:dyDescent="0.4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82"/>
      <c r="U2992" s="182"/>
    </row>
    <row r="2993" spans="1:21" ht="14.5" x14ac:dyDescent="0.4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82"/>
      <c r="U2993" s="182"/>
    </row>
    <row r="2994" spans="1:21" ht="14.5" x14ac:dyDescent="0.4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82"/>
      <c r="U2994" s="182"/>
    </row>
    <row r="2995" spans="1:21" ht="14.5" x14ac:dyDescent="0.4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82"/>
      <c r="U2995" s="182"/>
    </row>
    <row r="2996" spans="1:21" ht="14.5" x14ac:dyDescent="0.4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82"/>
      <c r="U2996" s="182"/>
    </row>
    <row r="2997" spans="1:21" ht="14.5" x14ac:dyDescent="0.4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82"/>
      <c r="U2997" s="182"/>
    </row>
    <row r="2998" spans="1:21" ht="14.5" x14ac:dyDescent="0.4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82"/>
      <c r="U2998" s="182"/>
    </row>
    <row r="2999" spans="1:21" ht="14.5" x14ac:dyDescent="0.4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82"/>
      <c r="U2999" s="182"/>
    </row>
    <row r="3000" spans="1:21" ht="14.5" x14ac:dyDescent="0.4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82"/>
      <c r="U3000" s="182"/>
    </row>
    <row r="3001" spans="1:21" ht="14.5" x14ac:dyDescent="0.4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82"/>
      <c r="U3001" s="182"/>
    </row>
    <row r="3002" spans="1:21" ht="14.5" x14ac:dyDescent="0.4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82"/>
      <c r="U3002" s="182"/>
    </row>
    <row r="3003" spans="1:21" ht="14.5" x14ac:dyDescent="0.4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82"/>
      <c r="U3003" s="182"/>
    </row>
    <row r="3004" spans="1:21" ht="14.5" x14ac:dyDescent="0.4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82"/>
      <c r="U3004" s="182"/>
    </row>
    <row r="3005" spans="1:21" ht="14.5" x14ac:dyDescent="0.4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82"/>
      <c r="U3005" s="182"/>
    </row>
    <row r="3006" spans="1:21" ht="14.5" x14ac:dyDescent="0.4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82"/>
      <c r="U3006" s="182"/>
    </row>
    <row r="3007" spans="1:21" ht="14.5" x14ac:dyDescent="0.4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82"/>
      <c r="U3007" s="182"/>
    </row>
    <row r="3008" spans="1:21" ht="14.5" x14ac:dyDescent="0.4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82"/>
      <c r="U3008" s="182"/>
    </row>
    <row r="3009" spans="1:21" ht="14.5" x14ac:dyDescent="0.4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82"/>
      <c r="U3009" s="182"/>
    </row>
    <row r="3010" spans="1:21" ht="14.5" x14ac:dyDescent="0.4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82"/>
      <c r="U3010" s="182"/>
    </row>
    <row r="3011" spans="1:21" ht="14.5" x14ac:dyDescent="0.4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82"/>
      <c r="U3011" s="182"/>
    </row>
    <row r="3012" spans="1:21" ht="14.5" x14ac:dyDescent="0.4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82"/>
      <c r="U3012" s="182"/>
    </row>
    <row r="3013" spans="1:21" ht="14.5" x14ac:dyDescent="0.4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82"/>
      <c r="U3013" s="182"/>
    </row>
    <row r="3014" spans="1:21" ht="14.5" x14ac:dyDescent="0.4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82"/>
      <c r="U3014" s="182"/>
    </row>
    <row r="3015" spans="1:21" ht="14.5" x14ac:dyDescent="0.4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82"/>
      <c r="U3015" s="182"/>
    </row>
    <row r="3016" spans="1:21" ht="14.5" x14ac:dyDescent="0.4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82"/>
      <c r="U3016" s="182"/>
    </row>
    <row r="3017" spans="1:21" ht="14.5" x14ac:dyDescent="0.4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82"/>
      <c r="U3017" s="182"/>
    </row>
    <row r="3018" spans="1:21" ht="14.5" x14ac:dyDescent="0.4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82"/>
      <c r="U3018" s="182"/>
    </row>
    <row r="3019" spans="1:21" ht="14.5" x14ac:dyDescent="0.4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82"/>
      <c r="U3019" s="182"/>
    </row>
    <row r="3020" spans="1:21" ht="14.5" x14ac:dyDescent="0.4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82"/>
      <c r="U3020" s="182"/>
    </row>
    <row r="3021" spans="1:21" ht="14.5" x14ac:dyDescent="0.4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82"/>
      <c r="U3021" s="182"/>
    </row>
    <row r="3022" spans="1:21" ht="14.5" x14ac:dyDescent="0.4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82"/>
      <c r="U3022" s="182"/>
    </row>
    <row r="3023" spans="1:21" ht="14.5" x14ac:dyDescent="0.4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82"/>
      <c r="U3023" s="182"/>
    </row>
    <row r="3024" spans="1:21" ht="14.5" x14ac:dyDescent="0.4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82"/>
      <c r="U3024" s="182"/>
    </row>
    <row r="3025" spans="1:21" ht="14.5" x14ac:dyDescent="0.4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82"/>
      <c r="U3025" s="182"/>
    </row>
    <row r="3026" spans="1:21" ht="14.5" x14ac:dyDescent="0.4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82"/>
      <c r="U3026" s="182"/>
    </row>
    <row r="3027" spans="1:21" ht="14.5" x14ac:dyDescent="0.4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82"/>
      <c r="U3027" s="182"/>
    </row>
    <row r="3028" spans="1:21" ht="14.5" x14ac:dyDescent="0.4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82"/>
      <c r="U3028" s="182"/>
    </row>
    <row r="3029" spans="1:21" ht="14.5" x14ac:dyDescent="0.4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82"/>
      <c r="U3029" s="182"/>
    </row>
    <row r="3030" spans="1:21" ht="14.5" x14ac:dyDescent="0.4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82"/>
      <c r="U3030" s="182"/>
    </row>
    <row r="3031" spans="1:21" ht="14.5" x14ac:dyDescent="0.4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82"/>
      <c r="U3031" s="182"/>
    </row>
    <row r="3032" spans="1:21" ht="14.5" x14ac:dyDescent="0.4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82"/>
      <c r="U3032" s="182"/>
    </row>
    <row r="3033" spans="1:21" ht="14.5" x14ac:dyDescent="0.4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82"/>
      <c r="U3033" s="182"/>
    </row>
    <row r="3034" spans="1:21" ht="14.5" x14ac:dyDescent="0.4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82"/>
      <c r="U3034" s="182"/>
    </row>
    <row r="3035" spans="1:21" ht="14.5" x14ac:dyDescent="0.4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82"/>
      <c r="U3035" s="182"/>
    </row>
    <row r="3036" spans="1:21" ht="14.5" x14ac:dyDescent="0.4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82"/>
      <c r="U3036" s="182"/>
    </row>
    <row r="3037" spans="1:21" ht="14.5" x14ac:dyDescent="0.4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82"/>
      <c r="U3037" s="182"/>
    </row>
    <row r="3038" spans="1:21" ht="14.5" x14ac:dyDescent="0.4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82"/>
      <c r="U3038" s="182"/>
    </row>
    <row r="3039" spans="1:21" ht="14.5" x14ac:dyDescent="0.4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82"/>
      <c r="U3039" s="182"/>
    </row>
    <row r="3040" spans="1:21" ht="14.5" x14ac:dyDescent="0.4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82"/>
      <c r="U3040" s="182"/>
    </row>
    <row r="3041" spans="1:21" ht="14.5" x14ac:dyDescent="0.4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82"/>
      <c r="U3041" s="182"/>
    </row>
    <row r="3042" spans="1:21" ht="14.5" x14ac:dyDescent="0.4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82"/>
      <c r="U3042" s="182"/>
    </row>
    <row r="3043" spans="1:21" ht="14.5" x14ac:dyDescent="0.4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82"/>
      <c r="U3043" s="182"/>
    </row>
    <row r="3044" spans="1:21" ht="14.5" x14ac:dyDescent="0.4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82"/>
      <c r="U3044" s="182"/>
    </row>
    <row r="3045" spans="1:21" ht="14.5" x14ac:dyDescent="0.4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82"/>
      <c r="U3045" s="182"/>
    </row>
    <row r="3046" spans="1:21" ht="14.5" x14ac:dyDescent="0.4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82"/>
      <c r="U3046" s="182"/>
    </row>
    <row r="3047" spans="1:21" ht="14.5" x14ac:dyDescent="0.4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82"/>
      <c r="U3047" s="182"/>
    </row>
    <row r="3048" spans="1:21" ht="14.5" x14ac:dyDescent="0.4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82"/>
      <c r="U3048" s="182"/>
    </row>
    <row r="3049" spans="1:21" ht="14.5" x14ac:dyDescent="0.4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82"/>
      <c r="U3049" s="182"/>
    </row>
    <row r="3050" spans="1:21" ht="14.5" x14ac:dyDescent="0.4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82"/>
      <c r="U3050" s="182"/>
    </row>
    <row r="3051" spans="1:21" ht="14.5" x14ac:dyDescent="0.4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82"/>
      <c r="U3051" s="182"/>
    </row>
    <row r="3052" spans="1:21" ht="14.5" x14ac:dyDescent="0.4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82"/>
      <c r="U3052" s="182"/>
    </row>
    <row r="3053" spans="1:21" ht="14.5" x14ac:dyDescent="0.4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82"/>
      <c r="U3053" s="182"/>
    </row>
    <row r="3054" spans="1:21" ht="14.5" x14ac:dyDescent="0.4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82"/>
      <c r="U3054" s="182"/>
    </row>
    <row r="3055" spans="1:21" ht="14.5" x14ac:dyDescent="0.4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82"/>
      <c r="U3055" s="182"/>
    </row>
    <row r="3056" spans="1:21" ht="14.5" x14ac:dyDescent="0.4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82"/>
      <c r="U3056" s="182"/>
    </row>
    <row r="3057" spans="1:21" ht="14.5" x14ac:dyDescent="0.4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82"/>
      <c r="U3057" s="182"/>
    </row>
    <row r="3058" spans="1:21" ht="14.5" x14ac:dyDescent="0.4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82"/>
      <c r="U3058" s="182"/>
    </row>
    <row r="3059" spans="1:21" ht="14.5" x14ac:dyDescent="0.4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82"/>
      <c r="U3059" s="182"/>
    </row>
    <row r="3060" spans="1:21" ht="14.5" x14ac:dyDescent="0.4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82"/>
      <c r="U3060" s="182"/>
    </row>
    <row r="3061" spans="1:21" ht="14.5" x14ac:dyDescent="0.4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82"/>
      <c r="U3061" s="182"/>
    </row>
    <row r="3062" spans="1:21" ht="14.5" x14ac:dyDescent="0.4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82"/>
      <c r="U3062" s="182"/>
    </row>
    <row r="3063" spans="1:21" ht="14.5" x14ac:dyDescent="0.4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82"/>
      <c r="U3063" s="182"/>
    </row>
    <row r="3064" spans="1:21" ht="14.5" x14ac:dyDescent="0.4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82"/>
      <c r="U3064" s="182"/>
    </row>
    <row r="3065" spans="1:21" ht="14.5" x14ac:dyDescent="0.4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82"/>
      <c r="U3065" s="182"/>
    </row>
    <row r="3066" spans="1:21" ht="14.5" x14ac:dyDescent="0.4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82"/>
      <c r="U3066" s="182"/>
    </row>
    <row r="3067" spans="1:21" ht="14.5" x14ac:dyDescent="0.4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82"/>
      <c r="U3067" s="182"/>
    </row>
    <row r="3068" spans="1:21" ht="14.5" x14ac:dyDescent="0.4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82"/>
      <c r="U3068" s="182"/>
    </row>
    <row r="3069" spans="1:21" ht="14.5" x14ac:dyDescent="0.4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82"/>
      <c r="U3069" s="182"/>
    </row>
    <row r="3070" spans="1:21" ht="14.5" x14ac:dyDescent="0.4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82"/>
      <c r="U3070" s="182"/>
    </row>
    <row r="3071" spans="1:21" ht="14.5" x14ac:dyDescent="0.4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82"/>
      <c r="U3071" s="182"/>
    </row>
    <row r="3072" spans="1:21" ht="14.5" x14ac:dyDescent="0.4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82"/>
      <c r="U3072" s="182"/>
    </row>
    <row r="3073" spans="1:21" ht="14.5" x14ac:dyDescent="0.4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82"/>
      <c r="U3073" s="182"/>
    </row>
    <row r="3074" spans="1:21" ht="14.5" x14ac:dyDescent="0.4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82"/>
      <c r="U3074" s="182"/>
    </row>
    <row r="3075" spans="1:21" ht="14.5" x14ac:dyDescent="0.4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82"/>
      <c r="U3075" s="182"/>
    </row>
    <row r="3076" spans="1:21" ht="14.5" x14ac:dyDescent="0.4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82"/>
      <c r="U3076" s="182"/>
    </row>
    <row r="3077" spans="1:21" ht="14.5" x14ac:dyDescent="0.4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82"/>
      <c r="U3077" s="182"/>
    </row>
    <row r="3078" spans="1:21" ht="14.5" x14ac:dyDescent="0.4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82"/>
      <c r="U3078" s="182"/>
    </row>
    <row r="3079" spans="1:21" ht="14.5" x14ac:dyDescent="0.4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82"/>
      <c r="U3079" s="182"/>
    </row>
    <row r="3080" spans="1:21" ht="14.5" x14ac:dyDescent="0.4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82"/>
      <c r="U3080" s="182"/>
    </row>
    <row r="3081" spans="1:21" ht="14.5" x14ac:dyDescent="0.4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82"/>
      <c r="U3081" s="182"/>
    </row>
    <row r="3082" spans="1:21" ht="14.5" x14ac:dyDescent="0.4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82"/>
      <c r="U3082" s="182"/>
    </row>
    <row r="3083" spans="1:21" ht="14.5" x14ac:dyDescent="0.4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82"/>
      <c r="U3083" s="182"/>
    </row>
    <row r="3084" spans="1:21" ht="14.5" x14ac:dyDescent="0.4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82"/>
      <c r="U3084" s="182"/>
    </row>
    <row r="3085" spans="1:21" ht="14.5" x14ac:dyDescent="0.4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82"/>
      <c r="U3085" s="182"/>
    </row>
    <row r="3086" spans="1:21" ht="14.5" x14ac:dyDescent="0.4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82"/>
      <c r="U3086" s="182"/>
    </row>
    <row r="3087" spans="1:21" ht="14.5" x14ac:dyDescent="0.4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82"/>
      <c r="U3087" s="182"/>
    </row>
    <row r="3088" spans="1:21" ht="14.5" x14ac:dyDescent="0.4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82"/>
      <c r="U3088" s="182"/>
    </row>
    <row r="3089" spans="1:21" ht="14.5" x14ac:dyDescent="0.4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82"/>
      <c r="U3089" s="182"/>
    </row>
    <row r="3090" spans="1:21" ht="14.5" x14ac:dyDescent="0.4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82"/>
      <c r="U3090" s="182"/>
    </row>
    <row r="3091" spans="1:21" ht="14.5" x14ac:dyDescent="0.4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82"/>
      <c r="U3091" s="182"/>
    </row>
    <row r="3092" spans="1:21" ht="14.5" x14ac:dyDescent="0.4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82"/>
      <c r="U3092" s="182"/>
    </row>
    <row r="3093" spans="1:21" ht="14.5" x14ac:dyDescent="0.4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82"/>
      <c r="U3093" s="182"/>
    </row>
    <row r="3094" spans="1:21" ht="14.5" x14ac:dyDescent="0.4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82"/>
      <c r="U3094" s="182"/>
    </row>
    <row r="3095" spans="1:21" ht="14.5" x14ac:dyDescent="0.4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82"/>
      <c r="U3095" s="182"/>
    </row>
    <row r="3096" spans="1:21" ht="14.5" x14ac:dyDescent="0.4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82"/>
      <c r="U3096" s="182"/>
    </row>
    <row r="3097" spans="1:21" ht="14.5" x14ac:dyDescent="0.4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82"/>
      <c r="U3097" s="182"/>
    </row>
    <row r="3098" spans="1:21" ht="14.5" x14ac:dyDescent="0.4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82"/>
      <c r="U3098" s="182"/>
    </row>
    <row r="3099" spans="1:21" ht="14.5" x14ac:dyDescent="0.4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82"/>
      <c r="U3099" s="182"/>
    </row>
    <row r="3100" spans="1:21" ht="14.5" x14ac:dyDescent="0.4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82"/>
      <c r="U3100" s="182"/>
    </row>
    <row r="3101" spans="1:21" ht="14.5" x14ac:dyDescent="0.4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82"/>
      <c r="U3101" s="182"/>
    </row>
    <row r="3102" spans="1:21" ht="14.5" x14ac:dyDescent="0.4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82"/>
      <c r="U3102" s="182"/>
    </row>
    <row r="3103" spans="1:21" ht="14.5" x14ac:dyDescent="0.4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82"/>
      <c r="U3103" s="182"/>
    </row>
    <row r="3104" spans="1:21" ht="14.5" x14ac:dyDescent="0.4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82"/>
      <c r="U3104" s="182"/>
    </row>
    <row r="3105" spans="1:21" ht="14.5" x14ac:dyDescent="0.4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82"/>
      <c r="U3105" s="182"/>
    </row>
    <row r="3106" spans="1:21" ht="14.5" x14ac:dyDescent="0.4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82"/>
      <c r="U3106" s="182"/>
    </row>
    <row r="3107" spans="1:21" ht="14.5" x14ac:dyDescent="0.4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82"/>
      <c r="U3107" s="182"/>
    </row>
    <row r="3108" spans="1:21" ht="14.5" x14ac:dyDescent="0.4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82"/>
      <c r="U3108" s="182"/>
    </row>
    <row r="3109" spans="1:21" ht="14.5" x14ac:dyDescent="0.4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82"/>
      <c r="U3109" s="182"/>
    </row>
    <row r="3110" spans="1:21" ht="14.5" x14ac:dyDescent="0.4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82"/>
      <c r="U3110" s="182"/>
    </row>
    <row r="3111" spans="1:21" ht="14.5" x14ac:dyDescent="0.4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82"/>
      <c r="U3111" s="182"/>
    </row>
    <row r="3112" spans="1:21" ht="14.5" x14ac:dyDescent="0.4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82"/>
      <c r="U3112" s="182"/>
    </row>
    <row r="3113" spans="1:21" ht="14.5" x14ac:dyDescent="0.4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82"/>
      <c r="U3113" s="182"/>
    </row>
    <row r="3114" spans="1:21" ht="14.5" x14ac:dyDescent="0.4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82"/>
      <c r="U3114" s="182"/>
    </row>
    <row r="3115" spans="1:21" ht="14.5" x14ac:dyDescent="0.4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82"/>
      <c r="U3115" s="182"/>
    </row>
    <row r="3116" spans="1:21" ht="14.5" x14ac:dyDescent="0.4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82"/>
      <c r="U3116" s="182"/>
    </row>
    <row r="3117" spans="1:21" ht="14.5" x14ac:dyDescent="0.4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82"/>
      <c r="U3117" s="182"/>
    </row>
    <row r="3118" spans="1:21" ht="14.5" x14ac:dyDescent="0.4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82"/>
      <c r="U3118" s="182"/>
    </row>
    <row r="3119" spans="1:21" ht="14.5" x14ac:dyDescent="0.4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82"/>
      <c r="U3119" s="182"/>
    </row>
    <row r="3120" spans="1:21" ht="14.5" x14ac:dyDescent="0.4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82"/>
      <c r="U3120" s="182"/>
    </row>
    <row r="3121" spans="1:21" ht="14.5" x14ac:dyDescent="0.4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82"/>
      <c r="U3121" s="182"/>
    </row>
    <row r="3122" spans="1:21" ht="14.5" x14ac:dyDescent="0.4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82"/>
      <c r="U3122" s="182"/>
    </row>
    <row r="3123" spans="1:21" ht="14.5" x14ac:dyDescent="0.4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82"/>
      <c r="U3123" s="182"/>
    </row>
    <row r="3124" spans="1:21" ht="14.5" x14ac:dyDescent="0.4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82"/>
      <c r="U3124" s="182"/>
    </row>
    <row r="3125" spans="1:21" ht="14.5" x14ac:dyDescent="0.4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82"/>
      <c r="U3125" s="182"/>
    </row>
    <row r="3126" spans="1:21" ht="14.5" x14ac:dyDescent="0.4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82"/>
      <c r="U3126" s="182"/>
    </row>
    <row r="3127" spans="1:21" ht="14.5" x14ac:dyDescent="0.4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82"/>
      <c r="U3127" s="182"/>
    </row>
    <row r="3128" spans="1:21" ht="14.5" x14ac:dyDescent="0.4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82"/>
      <c r="U3128" s="182"/>
    </row>
    <row r="3129" spans="1:21" ht="14.5" x14ac:dyDescent="0.4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82"/>
      <c r="U3129" s="182"/>
    </row>
    <row r="3130" spans="1:21" ht="14.5" x14ac:dyDescent="0.4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82"/>
      <c r="U3130" s="182"/>
    </row>
    <row r="3131" spans="1:21" ht="14.5" x14ac:dyDescent="0.4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82"/>
      <c r="U3131" s="182"/>
    </row>
    <row r="3132" spans="1:21" ht="14.5" x14ac:dyDescent="0.4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82"/>
      <c r="U3132" s="182"/>
    </row>
    <row r="3133" spans="1:21" ht="14.5" x14ac:dyDescent="0.4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82"/>
      <c r="U3133" s="182"/>
    </row>
    <row r="3134" spans="1:21" ht="14.5" x14ac:dyDescent="0.4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82"/>
      <c r="U3134" s="182"/>
    </row>
    <row r="3135" spans="1:21" ht="14.5" x14ac:dyDescent="0.4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82"/>
      <c r="U3135" s="182"/>
    </row>
    <row r="3136" spans="1:21" ht="14.5" x14ac:dyDescent="0.4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82"/>
      <c r="U3136" s="182"/>
    </row>
    <row r="3137" spans="1:21" ht="14.5" x14ac:dyDescent="0.4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82"/>
      <c r="U3137" s="182"/>
    </row>
    <row r="3138" spans="1:21" ht="14.5" x14ac:dyDescent="0.4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82"/>
      <c r="U3138" s="182"/>
    </row>
    <row r="3139" spans="1:21" ht="14.5" x14ac:dyDescent="0.4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82"/>
      <c r="U3139" s="182"/>
    </row>
    <row r="3140" spans="1:21" ht="14.5" x14ac:dyDescent="0.4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82"/>
      <c r="U3140" s="182"/>
    </row>
    <row r="3141" spans="1:21" ht="14.5" x14ac:dyDescent="0.4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82"/>
      <c r="U3141" s="182"/>
    </row>
    <row r="3142" spans="1:21" ht="14.5" x14ac:dyDescent="0.4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82"/>
      <c r="U3142" s="182"/>
    </row>
    <row r="3143" spans="1:21" ht="14.5" x14ac:dyDescent="0.4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82"/>
      <c r="U3143" s="182"/>
    </row>
    <row r="3144" spans="1:21" ht="14.5" x14ac:dyDescent="0.4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82"/>
      <c r="U3144" s="182"/>
    </row>
    <row r="3145" spans="1:21" ht="14.5" x14ac:dyDescent="0.4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82"/>
      <c r="U3145" s="182"/>
    </row>
    <row r="3146" spans="1:21" ht="14.5" x14ac:dyDescent="0.4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82"/>
      <c r="U3146" s="182"/>
    </row>
    <row r="3147" spans="1:21" ht="14.5" x14ac:dyDescent="0.4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82"/>
      <c r="U3147" s="182"/>
    </row>
    <row r="3148" spans="1:21" ht="14.5" x14ac:dyDescent="0.4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82"/>
      <c r="U3148" s="182"/>
    </row>
    <row r="3149" spans="1:21" ht="14.5" x14ac:dyDescent="0.4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82"/>
      <c r="U3149" s="182"/>
    </row>
    <row r="3150" spans="1:21" ht="14.5" x14ac:dyDescent="0.4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82"/>
      <c r="U3150" s="182"/>
    </row>
    <row r="3151" spans="1:21" ht="14.5" x14ac:dyDescent="0.4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82"/>
      <c r="U3151" s="182"/>
    </row>
    <row r="3152" spans="1:21" ht="14.5" x14ac:dyDescent="0.4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82"/>
      <c r="U3152" s="182"/>
    </row>
    <row r="3153" spans="1:21" ht="14.5" x14ac:dyDescent="0.4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82"/>
      <c r="U3153" s="182"/>
    </row>
    <row r="3154" spans="1:21" ht="14.5" x14ac:dyDescent="0.4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82"/>
      <c r="U3154" s="182"/>
    </row>
    <row r="3155" spans="1:21" ht="14.5" x14ac:dyDescent="0.4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82"/>
      <c r="U3155" s="182"/>
    </row>
    <row r="3156" spans="1:21" ht="14.5" x14ac:dyDescent="0.4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82"/>
      <c r="U3156" s="182"/>
    </row>
    <row r="3157" spans="1:21" ht="14.5" x14ac:dyDescent="0.4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82"/>
      <c r="U3157" s="182"/>
    </row>
    <row r="3158" spans="1:21" ht="14.5" x14ac:dyDescent="0.4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82"/>
      <c r="U3158" s="182"/>
    </row>
    <row r="3159" spans="1:21" ht="14.5" x14ac:dyDescent="0.4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82"/>
      <c r="U3159" s="182"/>
    </row>
    <row r="3160" spans="1:21" ht="14.5" x14ac:dyDescent="0.4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82"/>
      <c r="U3160" s="182"/>
    </row>
    <row r="3161" spans="1:21" ht="14.5" x14ac:dyDescent="0.4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82"/>
      <c r="U3161" s="182"/>
    </row>
    <row r="3162" spans="1:21" ht="14.5" x14ac:dyDescent="0.4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82"/>
      <c r="U3162" s="182"/>
    </row>
    <row r="3163" spans="1:21" ht="14.5" x14ac:dyDescent="0.4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82"/>
      <c r="U3163" s="182"/>
    </row>
    <row r="3164" spans="1:21" ht="14.5" x14ac:dyDescent="0.4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82"/>
      <c r="U3164" s="182"/>
    </row>
    <row r="3165" spans="1:21" ht="14.5" x14ac:dyDescent="0.4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82"/>
      <c r="U3165" s="182"/>
    </row>
    <row r="3166" spans="1:21" ht="14.5" x14ac:dyDescent="0.4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82"/>
      <c r="U3166" s="182"/>
    </row>
    <row r="3167" spans="1:21" ht="14.5" x14ac:dyDescent="0.4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82"/>
      <c r="U3167" s="182"/>
    </row>
    <row r="3168" spans="1:21" ht="14.5" x14ac:dyDescent="0.4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82"/>
      <c r="U3168" s="182"/>
    </row>
    <row r="3169" spans="1:21" ht="14.5" x14ac:dyDescent="0.4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82"/>
      <c r="U3169" s="182"/>
    </row>
    <row r="3170" spans="1:21" ht="14.5" x14ac:dyDescent="0.4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82"/>
      <c r="U3170" s="182"/>
    </row>
    <row r="3171" spans="1:21" ht="14.5" x14ac:dyDescent="0.4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82"/>
      <c r="U3171" s="182"/>
    </row>
    <row r="3172" spans="1:21" ht="14.5" x14ac:dyDescent="0.4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82"/>
      <c r="U3172" s="182"/>
    </row>
    <row r="3173" spans="1:21" ht="14.5" x14ac:dyDescent="0.4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82"/>
      <c r="U3173" s="182"/>
    </row>
    <row r="3174" spans="1:21" ht="14.5" x14ac:dyDescent="0.4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82"/>
      <c r="U3174" s="182"/>
    </row>
    <row r="3175" spans="1:21" ht="14.5" x14ac:dyDescent="0.4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82"/>
      <c r="U3175" s="182"/>
    </row>
    <row r="3176" spans="1:21" ht="14.5" x14ac:dyDescent="0.4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82"/>
      <c r="U3176" s="182"/>
    </row>
    <row r="3177" spans="1:21" ht="14.5" x14ac:dyDescent="0.4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82"/>
      <c r="U3177" s="182"/>
    </row>
    <row r="3178" spans="1:21" ht="14.5" x14ac:dyDescent="0.4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82"/>
      <c r="U3178" s="182"/>
    </row>
    <row r="3179" spans="1:21" ht="14.5" x14ac:dyDescent="0.4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82"/>
      <c r="U3179" s="182"/>
    </row>
    <row r="3180" spans="1:21" ht="14.5" x14ac:dyDescent="0.4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82"/>
      <c r="U3180" s="182"/>
    </row>
    <row r="3181" spans="1:21" ht="14.5" x14ac:dyDescent="0.4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82"/>
      <c r="U3181" s="182"/>
    </row>
    <row r="3182" spans="1:21" ht="14.5" x14ac:dyDescent="0.4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82"/>
      <c r="U3182" s="182"/>
    </row>
    <row r="3183" spans="1:21" ht="14.5" x14ac:dyDescent="0.4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82"/>
      <c r="U3183" s="182"/>
    </row>
    <row r="3184" spans="1:21" ht="14.5" x14ac:dyDescent="0.4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82"/>
      <c r="U3184" s="182"/>
    </row>
    <row r="3185" spans="1:21" ht="14.5" x14ac:dyDescent="0.4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82"/>
      <c r="U3185" s="182"/>
    </row>
    <row r="3186" spans="1:21" ht="14.5" x14ac:dyDescent="0.4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82"/>
      <c r="U3186" s="182"/>
    </row>
    <row r="3187" spans="1:21" ht="14.5" x14ac:dyDescent="0.4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82"/>
      <c r="U3187" s="182"/>
    </row>
    <row r="3188" spans="1:21" ht="14.5" x14ac:dyDescent="0.4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82"/>
      <c r="U3188" s="182"/>
    </row>
    <row r="3189" spans="1:21" ht="14.5" x14ac:dyDescent="0.4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82"/>
      <c r="U3189" s="182"/>
    </row>
    <row r="3190" spans="1:21" ht="14.5" x14ac:dyDescent="0.4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82"/>
      <c r="U3190" s="182"/>
    </row>
    <row r="3191" spans="1:21" ht="14.5" x14ac:dyDescent="0.4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82"/>
      <c r="U3191" s="182"/>
    </row>
    <row r="3192" spans="1:21" ht="14.5" x14ac:dyDescent="0.4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82"/>
      <c r="U3192" s="182"/>
    </row>
    <row r="3193" spans="1:21" ht="14.5" x14ac:dyDescent="0.4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82"/>
      <c r="U3193" s="182"/>
    </row>
    <row r="3194" spans="1:21" ht="14.5" x14ac:dyDescent="0.4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82"/>
      <c r="U3194" s="182"/>
    </row>
    <row r="3195" spans="1:21" ht="14.5" x14ac:dyDescent="0.4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82"/>
      <c r="U3195" s="182"/>
    </row>
    <row r="3196" spans="1:21" ht="14.5" x14ac:dyDescent="0.4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82"/>
      <c r="U3196" s="182"/>
    </row>
    <row r="3197" spans="1:21" ht="14.5" x14ac:dyDescent="0.4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82"/>
      <c r="U3197" s="182"/>
    </row>
    <row r="3198" spans="1:21" ht="14.5" x14ac:dyDescent="0.4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82"/>
      <c r="U3198" s="182"/>
    </row>
    <row r="3199" spans="1:21" ht="14.5" x14ac:dyDescent="0.4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82"/>
      <c r="U3199" s="182"/>
    </row>
    <row r="3200" spans="1:21" ht="14.5" x14ac:dyDescent="0.4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82"/>
      <c r="U3200" s="182"/>
    </row>
    <row r="3201" spans="1:21" ht="14.5" x14ac:dyDescent="0.4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82"/>
      <c r="U3201" s="182"/>
    </row>
    <row r="3202" spans="1:21" ht="14.5" x14ac:dyDescent="0.4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82"/>
      <c r="U3202" s="182"/>
    </row>
    <row r="3203" spans="1:21" ht="14.5" x14ac:dyDescent="0.4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82"/>
      <c r="U3203" s="182"/>
    </row>
    <row r="3204" spans="1:21" ht="14.5" x14ac:dyDescent="0.4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82"/>
      <c r="U3204" s="182"/>
    </row>
    <row r="3205" spans="1:21" ht="14.5" x14ac:dyDescent="0.4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82"/>
      <c r="U3205" s="182"/>
    </row>
    <row r="3206" spans="1:21" ht="14.5" x14ac:dyDescent="0.4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82"/>
      <c r="U3206" s="182"/>
    </row>
    <row r="3207" spans="1:21" ht="14.5" x14ac:dyDescent="0.4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82"/>
      <c r="U3207" s="182"/>
    </row>
    <row r="3208" spans="1:21" ht="14.5" x14ac:dyDescent="0.4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82"/>
      <c r="U3208" s="182"/>
    </row>
    <row r="3209" spans="1:21" ht="14.5" x14ac:dyDescent="0.4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82"/>
      <c r="U3209" s="182"/>
    </row>
    <row r="3210" spans="1:21" ht="14.5" x14ac:dyDescent="0.4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82"/>
      <c r="U3210" s="182"/>
    </row>
    <row r="3211" spans="1:21" ht="14.5" x14ac:dyDescent="0.4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82"/>
      <c r="U3211" s="182"/>
    </row>
    <row r="3212" spans="1:21" ht="14.5" x14ac:dyDescent="0.4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82"/>
      <c r="U3212" s="182"/>
    </row>
    <row r="3213" spans="1:21" ht="14.5" x14ac:dyDescent="0.4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82"/>
      <c r="U3213" s="182"/>
    </row>
    <row r="3214" spans="1:21" ht="14.5" x14ac:dyDescent="0.4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82"/>
      <c r="U3214" s="182"/>
    </row>
    <row r="3215" spans="1:21" ht="14.5" x14ac:dyDescent="0.4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82"/>
      <c r="U3215" s="182"/>
    </row>
    <row r="3216" spans="1:21" ht="14.5" x14ac:dyDescent="0.4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82"/>
      <c r="U3216" s="182"/>
    </row>
    <row r="3217" spans="1:21" ht="14.5" x14ac:dyDescent="0.4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82"/>
      <c r="U3217" s="182"/>
    </row>
    <row r="3218" spans="1:21" ht="14.5" x14ac:dyDescent="0.4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82"/>
      <c r="U3218" s="182"/>
    </row>
    <row r="3219" spans="1:21" ht="14.5" x14ac:dyDescent="0.4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82"/>
      <c r="U3219" s="182"/>
    </row>
    <row r="3220" spans="1:21" ht="14.5" x14ac:dyDescent="0.4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82"/>
      <c r="U3220" s="182"/>
    </row>
    <row r="3221" spans="1:21" ht="14.5" x14ac:dyDescent="0.4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82"/>
      <c r="U3221" s="182"/>
    </row>
    <row r="3222" spans="1:21" ht="14.5" x14ac:dyDescent="0.4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82"/>
      <c r="U3222" s="182"/>
    </row>
    <row r="3223" spans="1:21" ht="14.5" x14ac:dyDescent="0.4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82"/>
      <c r="U3223" s="182"/>
    </row>
    <row r="3224" spans="1:21" ht="14.5" x14ac:dyDescent="0.4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82"/>
      <c r="U3224" s="182"/>
    </row>
    <row r="3225" spans="1:21" ht="14.5" x14ac:dyDescent="0.4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82"/>
      <c r="U3225" s="182"/>
    </row>
    <row r="3226" spans="1:21" ht="14.5" x14ac:dyDescent="0.4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82"/>
      <c r="U3226" s="182"/>
    </row>
    <row r="3227" spans="1:21" ht="14.5" x14ac:dyDescent="0.4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82"/>
      <c r="U3227" s="182"/>
    </row>
    <row r="3228" spans="1:21" ht="14.5" x14ac:dyDescent="0.4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82"/>
      <c r="U3228" s="182"/>
    </row>
    <row r="3229" spans="1:21" ht="14.5" x14ac:dyDescent="0.4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82"/>
      <c r="U3229" s="182"/>
    </row>
    <row r="3230" spans="1:21" ht="14.5" x14ac:dyDescent="0.4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82"/>
      <c r="U3230" s="182"/>
    </row>
    <row r="3231" spans="1:21" ht="14.5" x14ac:dyDescent="0.4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82"/>
      <c r="U3231" s="182"/>
    </row>
    <row r="3232" spans="1:21" ht="14.5" x14ac:dyDescent="0.4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82"/>
      <c r="U3232" s="182"/>
    </row>
    <row r="3233" spans="1:21" ht="14.5" x14ac:dyDescent="0.4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82"/>
      <c r="U3233" s="182"/>
    </row>
    <row r="3234" spans="1:21" ht="14.5" x14ac:dyDescent="0.4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82"/>
      <c r="U3234" s="182"/>
    </row>
    <row r="3235" spans="1:21" ht="14.5" x14ac:dyDescent="0.4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82"/>
      <c r="U3235" s="182"/>
    </row>
    <row r="3236" spans="1:21" ht="14.5" x14ac:dyDescent="0.4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82"/>
      <c r="U3236" s="182"/>
    </row>
    <row r="3237" spans="1:21" ht="14.5" x14ac:dyDescent="0.4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82"/>
      <c r="U3237" s="182"/>
    </row>
    <row r="3238" spans="1:21" ht="14.5" x14ac:dyDescent="0.4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82"/>
      <c r="U3238" s="182"/>
    </row>
    <row r="3239" spans="1:21" ht="14.5" x14ac:dyDescent="0.4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82"/>
      <c r="U3239" s="182"/>
    </row>
    <row r="3240" spans="1:21" ht="14.5" x14ac:dyDescent="0.4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82"/>
      <c r="U3240" s="182"/>
    </row>
    <row r="3241" spans="1:21" ht="14.5" x14ac:dyDescent="0.4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82"/>
      <c r="U3241" s="182"/>
    </row>
    <row r="3242" spans="1:21" ht="14.5" x14ac:dyDescent="0.4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82"/>
      <c r="U3242" s="182"/>
    </row>
    <row r="3243" spans="1:21" ht="14.5" x14ac:dyDescent="0.4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82"/>
      <c r="U3243" s="182"/>
    </row>
    <row r="3244" spans="1:21" ht="14.5" x14ac:dyDescent="0.4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82"/>
      <c r="U3244" s="182"/>
    </row>
    <row r="3245" spans="1:21" ht="14.5" x14ac:dyDescent="0.4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82"/>
      <c r="U3245" s="182"/>
    </row>
    <row r="3246" spans="1:21" ht="14.5" x14ac:dyDescent="0.4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82"/>
      <c r="U3246" s="182"/>
    </row>
    <row r="3247" spans="1:21" ht="14.5" x14ac:dyDescent="0.4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82"/>
      <c r="U3247" s="182"/>
    </row>
    <row r="3248" spans="1:21" ht="14.5" x14ac:dyDescent="0.4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82"/>
      <c r="U3248" s="182"/>
    </row>
    <row r="3249" spans="1:21" ht="14.5" x14ac:dyDescent="0.4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82"/>
      <c r="U3249" s="182"/>
    </row>
    <row r="3250" spans="1:21" ht="14.5" x14ac:dyDescent="0.4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82"/>
      <c r="U3250" s="182"/>
    </row>
    <row r="3251" spans="1:21" ht="14.5" x14ac:dyDescent="0.4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82"/>
      <c r="U3251" s="182"/>
    </row>
    <row r="3252" spans="1:21" ht="14.5" x14ac:dyDescent="0.4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82"/>
      <c r="U3252" s="182"/>
    </row>
    <row r="3253" spans="1:21" ht="14.5" x14ac:dyDescent="0.4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82"/>
      <c r="U3253" s="182"/>
    </row>
    <row r="3254" spans="1:21" ht="14.5" x14ac:dyDescent="0.4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82"/>
      <c r="U3254" s="182"/>
    </row>
    <row r="3255" spans="1:21" ht="14.5" x14ac:dyDescent="0.4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82"/>
      <c r="U3255" s="182"/>
    </row>
    <row r="3256" spans="1:21" ht="14.5" x14ac:dyDescent="0.4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82"/>
      <c r="U3256" s="182"/>
    </row>
    <row r="3257" spans="1:21" ht="14.5" x14ac:dyDescent="0.4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82"/>
      <c r="U3257" s="182"/>
    </row>
    <row r="3258" spans="1:21" ht="14.5" x14ac:dyDescent="0.4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82"/>
      <c r="U3258" s="182"/>
    </row>
    <row r="3259" spans="1:21" ht="14.5" x14ac:dyDescent="0.4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82"/>
      <c r="U3259" s="182"/>
    </row>
    <row r="3260" spans="1:21" ht="14.5" x14ac:dyDescent="0.4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82"/>
      <c r="U3260" s="182"/>
    </row>
    <row r="3261" spans="1:21" ht="14.5" x14ac:dyDescent="0.4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82"/>
      <c r="U3261" s="182"/>
    </row>
    <row r="3262" spans="1:21" ht="14.5" x14ac:dyDescent="0.4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82"/>
      <c r="U3262" s="182"/>
    </row>
    <row r="3263" spans="1:21" ht="14.5" x14ac:dyDescent="0.4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82"/>
      <c r="U3263" s="182"/>
    </row>
    <row r="3264" spans="1:21" ht="14.5" x14ac:dyDescent="0.4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82"/>
      <c r="U3264" s="182"/>
    </row>
    <row r="3265" spans="1:21" ht="14.5" x14ac:dyDescent="0.4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82"/>
      <c r="U3265" s="182"/>
    </row>
    <row r="3266" spans="1:21" ht="14.5" x14ac:dyDescent="0.4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82"/>
      <c r="U3266" s="182"/>
    </row>
    <row r="3267" spans="1:21" ht="14.5" x14ac:dyDescent="0.4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82"/>
      <c r="U3267" s="182"/>
    </row>
    <row r="3268" spans="1:21" ht="14.5" x14ac:dyDescent="0.4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82"/>
      <c r="U3268" s="182"/>
    </row>
    <row r="3269" spans="1:21" ht="14.5" x14ac:dyDescent="0.4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82"/>
      <c r="U3269" s="182"/>
    </row>
    <row r="3270" spans="1:21" ht="14.5" x14ac:dyDescent="0.4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82"/>
      <c r="U3270" s="182"/>
    </row>
    <row r="3271" spans="1:21" ht="14.5" x14ac:dyDescent="0.4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82"/>
      <c r="U3271" s="182"/>
    </row>
    <row r="3272" spans="1:21" ht="14.5" x14ac:dyDescent="0.4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82"/>
      <c r="U3272" s="182"/>
    </row>
    <row r="3273" spans="1:21" ht="14.5" x14ac:dyDescent="0.4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82"/>
      <c r="U3273" s="182"/>
    </row>
    <row r="3274" spans="1:21" ht="14.5" x14ac:dyDescent="0.4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82"/>
      <c r="U3274" s="182"/>
    </row>
    <row r="3275" spans="1:21" ht="14.5" x14ac:dyDescent="0.4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82"/>
      <c r="U3275" s="182"/>
    </row>
    <row r="3276" spans="1:21" ht="14.5" x14ac:dyDescent="0.4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82"/>
      <c r="U3276" s="182"/>
    </row>
    <row r="3277" spans="1:21" ht="14.5" x14ac:dyDescent="0.4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82"/>
      <c r="U3277" s="182"/>
    </row>
    <row r="3278" spans="1:21" ht="14.5" x14ac:dyDescent="0.4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82"/>
      <c r="U3278" s="182"/>
    </row>
    <row r="3279" spans="1:21" ht="14.5" x14ac:dyDescent="0.4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82"/>
      <c r="U3279" s="182"/>
    </row>
    <row r="3280" spans="1:21" ht="14.5" x14ac:dyDescent="0.4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82"/>
      <c r="U3280" s="182"/>
    </row>
    <row r="3281" spans="1:21" ht="14.5" x14ac:dyDescent="0.4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82"/>
      <c r="U3281" s="182"/>
    </row>
    <row r="3282" spans="1:21" ht="14.5" x14ac:dyDescent="0.4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82"/>
      <c r="U3282" s="182"/>
    </row>
    <row r="3283" spans="1:21" ht="14.5" x14ac:dyDescent="0.4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82"/>
      <c r="U3283" s="182"/>
    </row>
    <row r="3284" spans="1:21" ht="14.5" x14ac:dyDescent="0.4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82"/>
      <c r="U3284" s="182"/>
    </row>
    <row r="3285" spans="1:21" ht="14.5" x14ac:dyDescent="0.4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82"/>
      <c r="U3285" s="182"/>
    </row>
    <row r="3286" spans="1:21" ht="14.5" x14ac:dyDescent="0.4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82"/>
      <c r="U3286" s="182"/>
    </row>
    <row r="3287" spans="1:21" ht="14.5" x14ac:dyDescent="0.4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82"/>
      <c r="U3287" s="182"/>
    </row>
    <row r="3288" spans="1:21" ht="14.5" x14ac:dyDescent="0.4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82"/>
      <c r="U3288" s="182"/>
    </row>
    <row r="3289" spans="1:21" ht="14.5" x14ac:dyDescent="0.4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82"/>
      <c r="U3289" s="182"/>
    </row>
    <row r="3290" spans="1:21" ht="14.5" x14ac:dyDescent="0.4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82"/>
      <c r="U3290" s="182"/>
    </row>
    <row r="3291" spans="1:21" ht="14.5" x14ac:dyDescent="0.4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82"/>
      <c r="U3291" s="182"/>
    </row>
    <row r="3292" spans="1:21" ht="14.5" x14ac:dyDescent="0.4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82"/>
      <c r="U3292" s="182"/>
    </row>
    <row r="3293" spans="1:21" ht="14.5" x14ac:dyDescent="0.4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82"/>
      <c r="U3293" s="182"/>
    </row>
    <row r="3294" spans="1:21" ht="14.5" x14ac:dyDescent="0.4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82"/>
      <c r="U3294" s="182"/>
    </row>
    <row r="3295" spans="1:21" ht="14.5" x14ac:dyDescent="0.4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82"/>
      <c r="U3295" s="182"/>
    </row>
    <row r="3296" spans="1:21" ht="14.5" x14ac:dyDescent="0.4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82"/>
      <c r="U3296" s="182"/>
    </row>
    <row r="3297" spans="1:21" ht="14.5" x14ac:dyDescent="0.4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82"/>
      <c r="U3297" s="182"/>
    </row>
    <row r="3298" spans="1:21" ht="14.5" x14ac:dyDescent="0.4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82"/>
      <c r="U3298" s="182"/>
    </row>
    <row r="3299" spans="1:21" ht="14.5" x14ac:dyDescent="0.4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82"/>
      <c r="U3299" s="182"/>
    </row>
    <row r="3300" spans="1:21" ht="14.5" x14ac:dyDescent="0.4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82"/>
      <c r="U3300" s="182"/>
    </row>
    <row r="3301" spans="1:21" ht="14.5" x14ac:dyDescent="0.4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82"/>
      <c r="U3301" s="182"/>
    </row>
    <row r="3302" spans="1:21" ht="14.5" x14ac:dyDescent="0.4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82"/>
      <c r="U3302" s="182"/>
    </row>
    <row r="3303" spans="1:21" ht="14.5" x14ac:dyDescent="0.4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82"/>
      <c r="U3303" s="182"/>
    </row>
    <row r="3304" spans="1:21" ht="14.5" x14ac:dyDescent="0.4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82"/>
      <c r="U3304" s="182"/>
    </row>
    <row r="3305" spans="1:21" ht="14.5" x14ac:dyDescent="0.4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82"/>
      <c r="U3305" s="182"/>
    </row>
    <row r="3306" spans="1:21" ht="14.5" x14ac:dyDescent="0.4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82"/>
      <c r="U3306" s="182"/>
    </row>
    <row r="3307" spans="1:21" ht="14.5" x14ac:dyDescent="0.4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82"/>
      <c r="U3307" s="182"/>
    </row>
    <row r="3308" spans="1:21" ht="14.5" x14ac:dyDescent="0.4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82"/>
      <c r="U3308" s="182"/>
    </row>
    <row r="3309" spans="1:21" ht="14.5" x14ac:dyDescent="0.4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82"/>
      <c r="U3309" s="182"/>
    </row>
    <row r="3310" spans="1:21" ht="14.5" x14ac:dyDescent="0.4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82"/>
      <c r="U3310" s="182"/>
    </row>
    <row r="3311" spans="1:21" ht="14.5" x14ac:dyDescent="0.4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82"/>
      <c r="U3311" s="182"/>
    </row>
    <row r="3312" spans="1:21" ht="14.5" x14ac:dyDescent="0.4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82"/>
      <c r="U3312" s="182"/>
    </row>
    <row r="3313" spans="1:21" ht="14.5" x14ac:dyDescent="0.4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82"/>
      <c r="U3313" s="182"/>
    </row>
    <row r="3314" spans="1:21" ht="14.5" x14ac:dyDescent="0.4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82"/>
      <c r="U3314" s="182"/>
    </row>
    <row r="3315" spans="1:21" ht="14.5" x14ac:dyDescent="0.4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82"/>
      <c r="U3315" s="182"/>
    </row>
    <row r="3316" spans="1:21" ht="14.5" x14ac:dyDescent="0.4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82"/>
      <c r="U3316" s="182"/>
    </row>
    <row r="3317" spans="1:21" ht="14.5" x14ac:dyDescent="0.4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82"/>
      <c r="U3317" s="182"/>
    </row>
    <row r="3318" spans="1:21" ht="14.5" x14ac:dyDescent="0.4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82"/>
      <c r="U3318" s="182"/>
    </row>
    <row r="3319" spans="1:21" ht="14.5" x14ac:dyDescent="0.4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82"/>
      <c r="U3319" s="182"/>
    </row>
    <row r="3320" spans="1:21" ht="14.5" x14ac:dyDescent="0.4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82"/>
      <c r="U3320" s="182"/>
    </row>
    <row r="3321" spans="1:21" ht="14.5" x14ac:dyDescent="0.4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82"/>
      <c r="U3321" s="182"/>
    </row>
    <row r="3322" spans="1:21" ht="14.5" x14ac:dyDescent="0.4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82"/>
      <c r="U3322" s="182"/>
    </row>
    <row r="3323" spans="1:21" ht="14.5" x14ac:dyDescent="0.4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82"/>
      <c r="U3323" s="182"/>
    </row>
    <row r="3324" spans="1:21" ht="14.5" x14ac:dyDescent="0.4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82"/>
      <c r="U3324" s="182"/>
    </row>
    <row r="3325" spans="1:21" ht="14.5" x14ac:dyDescent="0.4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82"/>
      <c r="U3325" s="182"/>
    </row>
    <row r="3326" spans="1:21" ht="14.5" x14ac:dyDescent="0.4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82"/>
      <c r="U3326" s="182"/>
    </row>
    <row r="3327" spans="1:21" ht="14.5" x14ac:dyDescent="0.4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82"/>
      <c r="U3327" s="182"/>
    </row>
    <row r="3328" spans="1:21" ht="14.5" x14ac:dyDescent="0.4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82"/>
      <c r="U3328" s="182"/>
    </row>
    <row r="3329" spans="1:21" ht="14.5" x14ac:dyDescent="0.4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82"/>
      <c r="U3329" s="182"/>
    </row>
    <row r="3330" spans="1:21" ht="14.5" x14ac:dyDescent="0.4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82"/>
      <c r="U3330" s="182"/>
    </row>
    <row r="3331" spans="1:21" ht="14.5" x14ac:dyDescent="0.4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82"/>
      <c r="U3331" s="182"/>
    </row>
    <row r="3332" spans="1:21" ht="14.5" x14ac:dyDescent="0.4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82"/>
      <c r="U3332" s="182"/>
    </row>
    <row r="3333" spans="1:21" ht="14.5" x14ac:dyDescent="0.4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82"/>
      <c r="U3333" s="182"/>
    </row>
    <row r="3334" spans="1:21" ht="14.5" x14ac:dyDescent="0.4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82"/>
      <c r="U3334" s="182"/>
    </row>
    <row r="3335" spans="1:21" ht="14.5" x14ac:dyDescent="0.4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82"/>
      <c r="U3335" s="182"/>
    </row>
    <row r="3336" spans="1:21" ht="14.5" x14ac:dyDescent="0.4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82"/>
      <c r="U3336" s="182"/>
    </row>
    <row r="3337" spans="1:21" ht="14.5" x14ac:dyDescent="0.4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82"/>
      <c r="U3337" s="182"/>
    </row>
    <row r="3338" spans="1:21" ht="14.5" x14ac:dyDescent="0.4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82"/>
      <c r="U3338" s="182"/>
    </row>
    <row r="3339" spans="1:21" ht="14.5" x14ac:dyDescent="0.4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82"/>
      <c r="U3339" s="182"/>
    </row>
    <row r="3340" spans="1:21" ht="14.5" x14ac:dyDescent="0.4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82"/>
      <c r="U3340" s="182"/>
    </row>
    <row r="3341" spans="1:21" ht="14.5" x14ac:dyDescent="0.4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82"/>
      <c r="U3341" s="182"/>
    </row>
    <row r="3342" spans="1:21" ht="14.5" x14ac:dyDescent="0.4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82"/>
      <c r="U3342" s="182"/>
    </row>
    <row r="3343" spans="1:21" ht="14.5" x14ac:dyDescent="0.4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82"/>
      <c r="U3343" s="182"/>
    </row>
    <row r="3344" spans="1:21" ht="14.5" x14ac:dyDescent="0.4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82"/>
      <c r="U3344" s="182"/>
    </row>
    <row r="3345" spans="1:21" ht="14.5" x14ac:dyDescent="0.4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82"/>
      <c r="U3345" s="182"/>
    </row>
    <row r="3346" spans="1:21" ht="14.5" x14ac:dyDescent="0.4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82"/>
      <c r="U3346" s="182"/>
    </row>
    <row r="3347" spans="1:21" ht="14.5" x14ac:dyDescent="0.4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82"/>
      <c r="U3347" s="182"/>
    </row>
    <row r="3348" spans="1:21" ht="14.5" x14ac:dyDescent="0.4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82"/>
      <c r="U3348" s="182"/>
    </row>
    <row r="3349" spans="1:21" ht="14.5" x14ac:dyDescent="0.4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82"/>
      <c r="U3349" s="182"/>
    </row>
    <row r="3350" spans="1:21" ht="14.5" x14ac:dyDescent="0.4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82"/>
      <c r="U3350" s="182"/>
    </row>
    <row r="3351" spans="1:21" ht="14.5" x14ac:dyDescent="0.4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82"/>
      <c r="U3351" s="182"/>
    </row>
    <row r="3352" spans="1:21" ht="14.5" x14ac:dyDescent="0.4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82"/>
      <c r="U3352" s="182"/>
    </row>
    <row r="3353" spans="1:21" ht="14.5" x14ac:dyDescent="0.4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82"/>
      <c r="U3353" s="182"/>
    </row>
    <row r="3354" spans="1:21" ht="14.5" x14ac:dyDescent="0.4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82"/>
      <c r="U3354" s="182"/>
    </row>
  </sheetData>
  <autoFilter ref="C7:R1851" xr:uid="{00000000-0009-0000-0000-000006000000}"/>
  <mergeCells count="19">
    <mergeCell ref="C1:R1"/>
    <mergeCell ref="C2:R2"/>
    <mergeCell ref="F4:O4"/>
    <mergeCell ref="P4:R4"/>
    <mergeCell ref="F1719:O1719"/>
    <mergeCell ref="C1854:H1854"/>
    <mergeCell ref="D1855:F1855"/>
    <mergeCell ref="D1865:E1865"/>
    <mergeCell ref="D1866:E1866"/>
    <mergeCell ref="D1867:E1867"/>
    <mergeCell ref="D1868:E1868"/>
    <mergeCell ref="D1869:E1869"/>
    <mergeCell ref="D1858:E1858"/>
    <mergeCell ref="D1859:E1859"/>
    <mergeCell ref="D1860:E1860"/>
    <mergeCell ref="D1861:E1861"/>
    <mergeCell ref="D1862:E1862"/>
    <mergeCell ref="D1863:E1863"/>
    <mergeCell ref="D1864:E1864"/>
  </mergeCells>
  <pageMargins left="0.25" right="0.25" top="0.75" bottom="0.75" header="0" footer="0"/>
  <pageSetup scale="90" orientation="portrait" r:id="rId1"/>
  <rowBreaks count="41" manualBreakCount="41">
    <brk id="7" max="17" man="1"/>
    <brk id="60" max="17" man="1"/>
    <brk id="111" max="17" man="1"/>
    <brk id="162" max="17" man="1"/>
    <brk id="213" max="17" man="1"/>
    <brk id="264" max="17" man="1"/>
    <brk id="298" max="17" man="1"/>
    <brk id="332" max="17" man="1"/>
    <brk id="383" max="17" man="1"/>
    <brk id="417" max="17" man="1"/>
    <brk id="468" max="17" man="1"/>
    <brk id="520" max="17" man="1"/>
    <brk id="570" max="17" man="1"/>
    <brk id="621" max="17" man="1"/>
    <brk id="672" max="17" man="1"/>
    <brk id="723" max="17" man="1"/>
    <brk id="774" max="17" man="1"/>
    <brk id="808" max="17" man="1"/>
    <brk id="859" max="17" man="1"/>
    <brk id="910" max="17" man="1"/>
    <brk id="962" max="17" man="1"/>
    <brk id="1013" max="17" man="1"/>
    <brk id="1064" max="17" man="1"/>
    <brk id="1115" max="17" man="1"/>
    <brk id="1149" max="17" man="1"/>
    <brk id="1183" max="17" man="1"/>
    <brk id="1234" max="17" man="1"/>
    <brk id="1285" max="17" man="1"/>
    <brk id="1336" max="17" man="1"/>
    <brk id="1388" max="17" man="1"/>
    <brk id="1439" max="17" man="1"/>
    <brk id="1490" max="17" man="1"/>
    <brk id="1541" max="17" man="1"/>
    <brk id="1592" max="17" man="1"/>
    <brk id="1645" max="17" man="1"/>
    <brk id="1646" max="17" man="1"/>
    <brk id="1698" max="17" man="1"/>
    <brk id="1715" max="16383" man="1"/>
    <brk id="1732" max="17" man="1"/>
    <brk id="1783" max="17" man="1"/>
    <brk id="1800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topLeftCell="C1" zoomScaleNormal="100" workbookViewId="0">
      <pane ySplit="6" topLeftCell="A8" activePane="bottomLeft" state="frozen"/>
      <selection pane="bottomLeft" activeCell="C4" sqref="C4"/>
    </sheetView>
  </sheetViews>
  <sheetFormatPr defaultColWidth="14.453125" defaultRowHeight="15" customHeight="1" x14ac:dyDescent="0.4"/>
  <cols>
    <col min="1" max="1" width="0.1796875" hidden="1" customWidth="1"/>
    <col min="2" max="2" width="14.453125" hidden="1"/>
    <col min="3" max="3" width="9.453125" customWidth="1"/>
    <col min="4" max="4" width="20" customWidth="1"/>
    <col min="5" max="5" width="7" customWidth="1"/>
    <col min="6" max="6" width="4.453125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customWidth="1"/>
    <col min="21" max="24" width="7.81640625" customWidth="1"/>
  </cols>
  <sheetData>
    <row r="1" spans="1:26" ht="14.5" x14ac:dyDescent="0.4">
      <c r="C1" s="532" t="str">
        <f>'University-wide'!A1</f>
        <v>University of California, San Diego Survey of Parking Space Occupancy Levels, Spring 2022</v>
      </c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T1" s="182"/>
      <c r="U1" s="182"/>
    </row>
    <row r="2" spans="1:26" ht="14.5" x14ac:dyDescent="0.4">
      <c r="C2" s="532" t="s">
        <v>487</v>
      </c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T2" s="182"/>
      <c r="U2" s="182"/>
    </row>
    <row r="3" spans="1:26" ht="14.5" x14ac:dyDescent="0.4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182"/>
      <c r="U3" s="182"/>
    </row>
    <row r="4" spans="1:26" ht="14.5" x14ac:dyDescent="0.4">
      <c r="C4" s="42" t="s">
        <v>45</v>
      </c>
      <c r="D4" s="42" t="s">
        <v>280</v>
      </c>
      <c r="E4" s="42" t="s">
        <v>280</v>
      </c>
      <c r="F4" s="516" t="s">
        <v>281</v>
      </c>
      <c r="G4" s="517"/>
      <c r="H4" s="517"/>
      <c r="I4" s="517"/>
      <c r="J4" s="517"/>
      <c r="K4" s="517"/>
      <c r="L4" s="517"/>
      <c r="M4" s="517"/>
      <c r="N4" s="517"/>
      <c r="O4" s="518"/>
      <c r="P4" s="516" t="s">
        <v>282</v>
      </c>
      <c r="Q4" s="517"/>
      <c r="R4" s="518"/>
      <c r="T4" s="182"/>
      <c r="U4" s="182"/>
    </row>
    <row r="5" spans="1:26" ht="9.75" customHeight="1" x14ac:dyDescent="0.4">
      <c r="C5" s="43"/>
      <c r="D5" s="43" t="s">
        <v>283</v>
      </c>
      <c r="E5" s="43" t="s">
        <v>284</v>
      </c>
      <c r="F5" s="44" t="s">
        <v>285</v>
      </c>
      <c r="G5" s="45" t="s">
        <v>286</v>
      </c>
      <c r="H5" s="45" t="s">
        <v>287</v>
      </c>
      <c r="I5" s="45" t="s">
        <v>288</v>
      </c>
      <c r="J5" s="45" t="s">
        <v>289</v>
      </c>
      <c r="K5" s="45" t="s">
        <v>290</v>
      </c>
      <c r="L5" s="45" t="s">
        <v>291</v>
      </c>
      <c r="M5" s="45" t="s">
        <v>292</v>
      </c>
      <c r="N5" s="45" t="s">
        <v>293</v>
      </c>
      <c r="O5" s="46" t="s">
        <v>294</v>
      </c>
      <c r="P5" s="47" t="s">
        <v>295</v>
      </c>
      <c r="Q5" s="48" t="s">
        <v>296</v>
      </c>
      <c r="R5" s="49" t="s">
        <v>297</v>
      </c>
      <c r="T5" s="182"/>
      <c r="U5" s="182"/>
    </row>
    <row r="6" spans="1:26" ht="9.75" customHeight="1" x14ac:dyDescent="0.4">
      <c r="B6" s="219" t="s">
        <v>394</v>
      </c>
      <c r="C6" s="50"/>
      <c r="D6" s="50"/>
      <c r="E6" s="50"/>
      <c r="F6" s="51" t="s">
        <v>298</v>
      </c>
      <c r="G6" s="52" t="s">
        <v>298</v>
      </c>
      <c r="H6" s="52" t="s">
        <v>298</v>
      </c>
      <c r="I6" s="52" t="s">
        <v>298</v>
      </c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3" t="s">
        <v>299</v>
      </c>
      <c r="P6" s="51" t="s">
        <v>284</v>
      </c>
      <c r="Q6" s="52" t="s">
        <v>284</v>
      </c>
      <c r="R6" s="53" t="s">
        <v>296</v>
      </c>
      <c r="T6" s="182"/>
      <c r="U6" s="182"/>
    </row>
    <row r="7" spans="1:26" ht="14.5" hidden="1" x14ac:dyDescent="0.4">
      <c r="A7" s="1"/>
      <c r="B7" s="1"/>
      <c r="C7" s="185" t="s">
        <v>45</v>
      </c>
      <c r="D7" s="185" t="s">
        <v>356</v>
      </c>
      <c r="E7" s="185" t="s">
        <v>357</v>
      </c>
      <c r="F7" s="44" t="s">
        <v>358</v>
      </c>
      <c r="G7" s="45" t="s">
        <v>359</v>
      </c>
      <c r="H7" s="45" t="s">
        <v>360</v>
      </c>
      <c r="I7" s="45" t="s">
        <v>361</v>
      </c>
      <c r="J7" s="45" t="s">
        <v>362</v>
      </c>
      <c r="K7" s="45" t="s">
        <v>363</v>
      </c>
      <c r="L7" s="45" t="s">
        <v>364</v>
      </c>
      <c r="M7" s="45" t="s">
        <v>365</v>
      </c>
      <c r="N7" s="45" t="s">
        <v>366</v>
      </c>
      <c r="O7" s="46" t="s">
        <v>367</v>
      </c>
      <c r="P7" s="44" t="s">
        <v>295</v>
      </c>
      <c r="Q7" s="45" t="s">
        <v>296</v>
      </c>
      <c r="R7" s="46" t="s">
        <v>368</v>
      </c>
      <c r="S7" s="1"/>
      <c r="T7" s="182"/>
      <c r="U7" s="182"/>
      <c r="V7" s="1"/>
      <c r="W7" s="1"/>
      <c r="X7" s="1"/>
      <c r="Y7" s="1"/>
      <c r="Z7" s="1"/>
    </row>
    <row r="8" spans="1:26" ht="9.75" customHeight="1" x14ac:dyDescent="0.4">
      <c r="C8" s="331" t="s">
        <v>62</v>
      </c>
      <c r="D8" s="15" t="s">
        <v>300</v>
      </c>
      <c r="E8" s="15"/>
      <c r="F8" s="73"/>
      <c r="G8" s="108"/>
      <c r="H8" s="108"/>
      <c r="I8" s="108"/>
      <c r="J8" s="108"/>
      <c r="K8" s="108"/>
      <c r="L8" s="108"/>
      <c r="M8" s="108"/>
      <c r="N8" s="108"/>
      <c r="O8" s="109"/>
      <c r="P8" s="73"/>
      <c r="Q8" s="108"/>
      <c r="R8" s="188"/>
      <c r="T8" s="182"/>
      <c r="U8" s="182"/>
    </row>
    <row r="9" spans="1:26" ht="9.75" customHeight="1" x14ac:dyDescent="0.4">
      <c r="C9" s="323"/>
      <c r="D9" s="17" t="s">
        <v>301</v>
      </c>
      <c r="E9" s="17"/>
      <c r="F9" s="32"/>
      <c r="G9" s="6"/>
      <c r="H9" s="6"/>
      <c r="I9" s="6"/>
      <c r="J9" s="6"/>
      <c r="K9" s="6"/>
      <c r="L9" s="6"/>
      <c r="M9" s="6"/>
      <c r="N9" s="6"/>
      <c r="O9" s="31"/>
      <c r="P9" s="32"/>
      <c r="Q9" s="6"/>
      <c r="R9" s="59"/>
      <c r="T9" s="182"/>
      <c r="U9" s="182"/>
    </row>
    <row r="10" spans="1:26" ht="9.75" customHeight="1" x14ac:dyDescent="0.4">
      <c r="C10" s="323"/>
      <c r="D10" s="17" t="s">
        <v>303</v>
      </c>
      <c r="E10" s="17">
        <v>385</v>
      </c>
      <c r="F10" s="32">
        <f>E10-167</f>
        <v>218</v>
      </c>
      <c r="G10" s="6">
        <f>E10-180</f>
        <v>205</v>
      </c>
      <c r="H10" s="6">
        <f>E10-125</f>
        <v>260</v>
      </c>
      <c r="I10" s="6">
        <f>E10-234</f>
        <v>151</v>
      </c>
      <c r="J10" s="6">
        <f>E10-244</f>
        <v>141</v>
      </c>
      <c r="K10" s="6">
        <f>E10-240</f>
        <v>145</v>
      </c>
      <c r="L10" s="6">
        <v>144</v>
      </c>
      <c r="M10" s="6">
        <v>143</v>
      </c>
      <c r="N10" s="6">
        <f>E10-215</f>
        <v>170</v>
      </c>
      <c r="O10" s="31">
        <f>E10-140</f>
        <v>245</v>
      </c>
      <c r="P10" s="32">
        <f>MIN(F10:O10)</f>
        <v>141</v>
      </c>
      <c r="Q10" s="6">
        <f>E10-P10</f>
        <v>244</v>
      </c>
      <c r="R10" s="59">
        <f>Q10/E10</f>
        <v>0.63376623376623376</v>
      </c>
      <c r="T10" s="182"/>
      <c r="U10" s="182"/>
    </row>
    <row r="11" spans="1:26" ht="9.75" customHeight="1" x14ac:dyDescent="0.4">
      <c r="C11" s="323"/>
      <c r="D11" s="17" t="s">
        <v>369</v>
      </c>
      <c r="E11" s="17"/>
      <c r="F11" s="32"/>
      <c r="G11" s="6"/>
      <c r="H11" s="6"/>
      <c r="I11" s="6"/>
      <c r="J11" s="6"/>
      <c r="K11" s="6"/>
      <c r="L11" s="6"/>
      <c r="M11" s="6"/>
      <c r="N11" s="6"/>
      <c r="O11" s="31"/>
      <c r="P11" s="32"/>
      <c r="Q11" s="6"/>
      <c r="R11" s="59"/>
      <c r="T11" s="182"/>
      <c r="U11" s="182"/>
    </row>
    <row r="12" spans="1:26" ht="9.75" customHeight="1" x14ac:dyDescent="0.4">
      <c r="C12" s="323"/>
      <c r="D12" s="17" t="s">
        <v>369</v>
      </c>
      <c r="E12" s="17"/>
      <c r="F12" s="32"/>
      <c r="G12" s="6"/>
      <c r="H12" s="6"/>
      <c r="I12" s="6"/>
      <c r="J12" s="6"/>
      <c r="K12" s="6"/>
      <c r="L12" s="6"/>
      <c r="M12" s="6"/>
      <c r="N12" s="6"/>
      <c r="O12" s="31"/>
      <c r="P12" s="32"/>
      <c r="Q12" s="6"/>
      <c r="R12" s="59"/>
      <c r="T12" s="182"/>
      <c r="U12" s="182"/>
    </row>
    <row r="13" spans="1:26" ht="9.75" customHeight="1" x14ac:dyDescent="0.4">
      <c r="C13" s="323"/>
      <c r="D13" s="17" t="s">
        <v>308</v>
      </c>
      <c r="E13" s="17"/>
      <c r="F13" s="32"/>
      <c r="G13" s="6"/>
      <c r="H13" s="6"/>
      <c r="I13" s="6"/>
      <c r="J13" s="6"/>
      <c r="K13" s="6"/>
      <c r="L13" s="6"/>
      <c r="M13" s="6"/>
      <c r="N13" s="6"/>
      <c r="O13" s="31"/>
      <c r="P13" s="32"/>
      <c r="Q13" s="6"/>
      <c r="R13" s="59"/>
      <c r="T13" s="182"/>
      <c r="U13" s="182"/>
    </row>
    <row r="14" spans="1:26" ht="9.75" customHeight="1" x14ac:dyDescent="0.4">
      <c r="C14" s="323"/>
      <c r="D14" s="17" t="s">
        <v>374</v>
      </c>
      <c r="E14" s="17"/>
      <c r="F14" s="32"/>
      <c r="G14" s="6"/>
      <c r="H14" s="6"/>
      <c r="I14" s="6"/>
      <c r="J14" s="6"/>
      <c r="K14" s="6"/>
      <c r="L14" s="6"/>
      <c r="M14" s="6"/>
      <c r="N14" s="6"/>
      <c r="O14" s="31"/>
      <c r="P14" s="32"/>
      <c r="Q14" s="6"/>
      <c r="R14" s="59"/>
      <c r="T14" s="182"/>
      <c r="U14" s="182"/>
    </row>
    <row r="15" spans="1:26" ht="9.75" customHeight="1" x14ac:dyDescent="0.4">
      <c r="C15" s="323"/>
      <c r="D15" s="17" t="s">
        <v>374</v>
      </c>
      <c r="E15" s="17"/>
      <c r="F15" s="32"/>
      <c r="G15" s="6"/>
      <c r="H15" s="6"/>
      <c r="I15" s="6"/>
      <c r="J15" s="6"/>
      <c r="K15" s="6"/>
      <c r="L15" s="6"/>
      <c r="M15" s="6"/>
      <c r="N15" s="6"/>
      <c r="O15" s="31"/>
      <c r="P15" s="32"/>
      <c r="Q15" s="6"/>
      <c r="R15" s="59"/>
      <c r="T15" s="182"/>
      <c r="U15" s="182"/>
    </row>
    <row r="16" spans="1:26" ht="9.75" customHeight="1" x14ac:dyDescent="0.4">
      <c r="C16" s="17"/>
      <c r="D16" s="17" t="s">
        <v>374</v>
      </c>
      <c r="E16" s="17"/>
      <c r="F16" s="32"/>
      <c r="G16" s="6"/>
      <c r="H16" s="6"/>
      <c r="I16" s="6"/>
      <c r="J16" s="6"/>
      <c r="K16" s="6"/>
      <c r="L16" s="6"/>
      <c r="M16" s="6"/>
      <c r="N16" s="6"/>
      <c r="O16" s="31"/>
      <c r="P16" s="32"/>
      <c r="Q16" s="6"/>
      <c r="R16" s="59"/>
      <c r="T16" s="182"/>
      <c r="U16" s="182"/>
    </row>
    <row r="17" spans="3:21" ht="9.75" customHeight="1" x14ac:dyDescent="0.4">
      <c r="C17" s="17"/>
      <c r="D17" s="17" t="s">
        <v>374</v>
      </c>
      <c r="E17" s="17"/>
      <c r="F17" s="32"/>
      <c r="G17" s="6"/>
      <c r="H17" s="6"/>
      <c r="I17" s="6"/>
      <c r="J17" s="6"/>
      <c r="K17" s="6"/>
      <c r="L17" s="6"/>
      <c r="M17" s="6"/>
      <c r="N17" s="6"/>
      <c r="O17" s="31"/>
      <c r="P17" s="32"/>
      <c r="Q17" s="6"/>
      <c r="R17" s="59"/>
      <c r="T17" s="182"/>
      <c r="U17" s="182"/>
    </row>
    <row r="18" spans="3:21" ht="9.75" customHeight="1" x14ac:dyDescent="0.4">
      <c r="C18" s="17"/>
      <c r="D18" s="17" t="s">
        <v>374</v>
      </c>
      <c r="E18" s="17"/>
      <c r="F18" s="32"/>
      <c r="G18" s="6"/>
      <c r="H18" s="6"/>
      <c r="I18" s="6"/>
      <c r="J18" s="6"/>
      <c r="K18" s="6"/>
      <c r="L18" s="6"/>
      <c r="M18" s="6"/>
      <c r="N18" s="6"/>
      <c r="O18" s="31"/>
      <c r="P18" s="32"/>
      <c r="Q18" s="6"/>
      <c r="R18" s="59"/>
      <c r="T18" s="182"/>
      <c r="U18" s="182"/>
    </row>
    <row r="19" spans="3:21" ht="9.75" customHeight="1" x14ac:dyDescent="0.4">
      <c r="C19" s="17"/>
      <c r="D19" s="17" t="s">
        <v>374</v>
      </c>
      <c r="E19" s="17"/>
      <c r="F19" s="32"/>
      <c r="G19" s="6"/>
      <c r="H19" s="6"/>
      <c r="I19" s="6"/>
      <c r="J19" s="6"/>
      <c r="K19" s="6"/>
      <c r="L19" s="6"/>
      <c r="M19" s="6"/>
      <c r="N19" s="6"/>
      <c r="O19" s="31"/>
      <c r="P19" s="32"/>
      <c r="Q19" s="6"/>
      <c r="R19" s="59"/>
      <c r="T19" s="182"/>
      <c r="U19" s="182"/>
    </row>
    <row r="20" spans="3:21" ht="9.75" customHeight="1" x14ac:dyDescent="0.4">
      <c r="C20" s="17"/>
      <c r="D20" s="17" t="s">
        <v>310</v>
      </c>
      <c r="E20" s="17"/>
      <c r="F20" s="32"/>
      <c r="G20" s="6"/>
      <c r="H20" s="6"/>
      <c r="I20" s="6"/>
      <c r="J20" s="6"/>
      <c r="K20" s="6"/>
      <c r="L20" s="6"/>
      <c r="M20" s="6"/>
      <c r="N20" s="6"/>
      <c r="O20" s="31"/>
      <c r="P20" s="32"/>
      <c r="Q20" s="6"/>
      <c r="R20" s="59"/>
      <c r="T20" s="182"/>
      <c r="U20" s="182"/>
    </row>
    <row r="21" spans="3:21" ht="9.75" customHeight="1" x14ac:dyDescent="0.4">
      <c r="C21" s="17"/>
      <c r="D21" s="17" t="s">
        <v>311</v>
      </c>
      <c r="E21" s="17"/>
      <c r="F21" s="32"/>
      <c r="G21" s="6"/>
      <c r="H21" s="6"/>
      <c r="I21" s="6"/>
      <c r="J21" s="6"/>
      <c r="K21" s="6"/>
      <c r="L21" s="6"/>
      <c r="M21" s="6"/>
      <c r="N21" s="6"/>
      <c r="O21" s="31"/>
      <c r="P21" s="32"/>
      <c r="Q21" s="6"/>
      <c r="R21" s="59"/>
      <c r="T21" s="182"/>
      <c r="U21" s="182"/>
    </row>
    <row r="22" spans="3:21" ht="9.75" customHeight="1" x14ac:dyDescent="0.4">
      <c r="C22" s="17"/>
      <c r="D22" s="17" t="s">
        <v>312</v>
      </c>
      <c r="E22" s="17"/>
      <c r="F22" s="32"/>
      <c r="G22" s="6"/>
      <c r="H22" s="6"/>
      <c r="I22" s="6"/>
      <c r="J22" s="6"/>
      <c r="K22" s="6"/>
      <c r="L22" s="6"/>
      <c r="M22" s="6"/>
      <c r="N22" s="6"/>
      <c r="O22" s="31"/>
      <c r="P22" s="32"/>
      <c r="Q22" s="6"/>
      <c r="R22" s="59"/>
      <c r="T22" s="182"/>
      <c r="U22" s="182"/>
    </row>
    <row r="23" spans="3:21" ht="9.75" customHeight="1" x14ac:dyDescent="0.4">
      <c r="C23" s="17"/>
      <c r="D23" s="17" t="s">
        <v>313</v>
      </c>
      <c r="E23" s="17"/>
      <c r="F23" s="32"/>
      <c r="G23" s="6"/>
      <c r="H23" s="6"/>
      <c r="I23" s="6"/>
      <c r="J23" s="6"/>
      <c r="K23" s="6"/>
      <c r="L23" s="6"/>
      <c r="M23" s="6"/>
      <c r="N23" s="6"/>
      <c r="O23" s="31"/>
      <c r="P23" s="32"/>
      <c r="Q23" s="6"/>
      <c r="R23" s="59"/>
      <c r="T23" s="182"/>
      <c r="U23" s="182"/>
    </row>
    <row r="24" spans="3:21" ht="9.75" customHeight="1" x14ac:dyDescent="0.4">
      <c r="C24" s="34"/>
      <c r="D24" s="104" t="s">
        <v>314</v>
      </c>
      <c r="E24" s="104">
        <f t="shared" ref="E24:O24" si="0">SUM(E8:E23)</f>
        <v>385</v>
      </c>
      <c r="F24" s="104">
        <f t="shared" si="0"/>
        <v>218</v>
      </c>
      <c r="G24" s="128">
        <f t="shared" si="0"/>
        <v>205</v>
      </c>
      <c r="H24" s="128">
        <f t="shared" si="0"/>
        <v>260</v>
      </c>
      <c r="I24" s="128">
        <f t="shared" si="0"/>
        <v>151</v>
      </c>
      <c r="J24" s="128">
        <f t="shared" si="0"/>
        <v>141</v>
      </c>
      <c r="K24" s="128">
        <f t="shared" si="0"/>
        <v>145</v>
      </c>
      <c r="L24" s="128">
        <f t="shared" si="0"/>
        <v>144</v>
      </c>
      <c r="M24" s="128">
        <f t="shared" si="0"/>
        <v>143</v>
      </c>
      <c r="N24" s="128">
        <f t="shared" si="0"/>
        <v>170</v>
      </c>
      <c r="O24" s="129">
        <f t="shared" si="0"/>
        <v>245</v>
      </c>
      <c r="P24" s="128">
        <f>MIN(F24:O24)</f>
        <v>141</v>
      </c>
      <c r="Q24" s="128">
        <f>E24-P24</f>
        <v>244</v>
      </c>
      <c r="R24" s="72">
        <f>Q24/E24</f>
        <v>0.63376623376623376</v>
      </c>
      <c r="T24" s="182"/>
      <c r="U24" s="182"/>
    </row>
    <row r="25" spans="3:21" ht="9.75" customHeight="1" x14ac:dyDescent="0.4">
      <c r="C25" s="15" t="s">
        <v>83</v>
      </c>
      <c r="D25" s="15" t="s">
        <v>300</v>
      </c>
      <c r="E25" s="17"/>
      <c r="F25" s="32"/>
      <c r="G25" s="6"/>
      <c r="H25" s="6"/>
      <c r="I25" s="6"/>
      <c r="J25" s="6"/>
      <c r="K25" s="6"/>
      <c r="L25" s="6"/>
      <c r="M25" s="6"/>
      <c r="N25" s="6"/>
      <c r="O25" s="31"/>
      <c r="P25" s="32"/>
      <c r="Q25" s="6"/>
      <c r="R25" s="59"/>
      <c r="T25" s="182"/>
      <c r="U25" s="182"/>
    </row>
    <row r="26" spans="3:21" ht="9.75" customHeight="1" x14ac:dyDescent="0.4">
      <c r="C26" s="17"/>
      <c r="D26" s="17" t="s">
        <v>301</v>
      </c>
      <c r="E26" s="17"/>
      <c r="F26" s="32"/>
      <c r="G26" s="6"/>
      <c r="H26" s="6"/>
      <c r="I26" s="6"/>
      <c r="J26" s="6"/>
      <c r="K26" s="6"/>
      <c r="L26" s="6"/>
      <c r="M26" s="6"/>
      <c r="N26" s="6"/>
      <c r="O26" s="31"/>
      <c r="P26" s="32"/>
      <c r="Q26" s="6"/>
      <c r="R26" s="59"/>
      <c r="T26" s="182"/>
      <c r="U26" s="182"/>
    </row>
    <row r="27" spans="3:21" ht="9.75" customHeight="1" x14ac:dyDescent="0.4">
      <c r="C27" s="17"/>
      <c r="D27" s="17" t="s">
        <v>306</v>
      </c>
      <c r="E27" s="17">
        <f>83+95+115</f>
        <v>293</v>
      </c>
      <c r="F27" s="32">
        <v>255</v>
      </c>
      <c r="G27" s="6">
        <v>149</v>
      </c>
      <c r="H27" s="6">
        <v>25</v>
      </c>
      <c r="I27" s="6">
        <v>22</v>
      </c>
      <c r="J27" s="6">
        <v>20</v>
      </c>
      <c r="K27" s="74">
        <v>22</v>
      </c>
      <c r="L27" s="74">
        <v>33</v>
      </c>
      <c r="M27" s="74">
        <v>31</v>
      </c>
      <c r="N27" s="74">
        <v>69</v>
      </c>
      <c r="O27" s="74">
        <v>78</v>
      </c>
      <c r="P27" s="32">
        <f>MIN(F27:O27)</f>
        <v>20</v>
      </c>
      <c r="Q27" s="6">
        <f>E27-P27</f>
        <v>273</v>
      </c>
      <c r="R27" s="59">
        <f>Q27/E27</f>
        <v>0.93174061433447097</v>
      </c>
      <c r="T27" s="182"/>
      <c r="U27" s="182"/>
    </row>
    <row r="28" spans="3:21" ht="9.75" customHeight="1" x14ac:dyDescent="0.4">
      <c r="C28" s="17"/>
      <c r="D28" s="17" t="s">
        <v>303</v>
      </c>
      <c r="E28" s="17"/>
      <c r="F28" s="32"/>
      <c r="G28" s="6"/>
      <c r="H28" s="6"/>
      <c r="I28" s="6"/>
      <c r="J28" s="382"/>
      <c r="K28" s="6"/>
      <c r="L28" s="6"/>
      <c r="M28" s="6"/>
      <c r="N28" s="6"/>
      <c r="O28" s="31"/>
      <c r="P28" s="32"/>
      <c r="Q28" s="6"/>
      <c r="R28" s="59"/>
      <c r="T28" s="182"/>
      <c r="U28" s="182"/>
    </row>
    <row r="29" spans="3:21" ht="9.75" customHeight="1" x14ac:dyDescent="0.4">
      <c r="C29" s="17"/>
      <c r="D29" s="17" t="s">
        <v>369</v>
      </c>
      <c r="E29" s="17"/>
      <c r="F29" s="32"/>
      <c r="G29" s="6"/>
      <c r="H29" s="6"/>
      <c r="I29" s="6"/>
      <c r="J29" s="6"/>
      <c r="K29" s="6"/>
      <c r="L29" s="6"/>
      <c r="M29" s="6"/>
      <c r="N29" s="6"/>
      <c r="O29" s="31"/>
      <c r="P29" s="32"/>
      <c r="Q29" s="6"/>
      <c r="R29" s="59"/>
      <c r="T29" s="182"/>
      <c r="U29" s="182"/>
    </row>
    <row r="30" spans="3:21" ht="9.75" customHeight="1" x14ac:dyDescent="0.4">
      <c r="C30" s="17"/>
      <c r="D30" s="17" t="s">
        <v>369</v>
      </c>
      <c r="E30" s="17"/>
      <c r="F30" s="32"/>
      <c r="G30" s="6"/>
      <c r="H30" s="6"/>
      <c r="I30" s="6"/>
      <c r="J30" s="6"/>
      <c r="K30" s="6"/>
      <c r="L30" s="6"/>
      <c r="M30" s="6"/>
      <c r="N30" s="6"/>
      <c r="O30" s="74"/>
      <c r="P30" s="32"/>
      <c r="Q30" s="6"/>
      <c r="R30" s="59"/>
      <c r="T30" s="182"/>
      <c r="U30" s="182"/>
    </row>
    <row r="31" spans="3:21" ht="9.75" customHeight="1" x14ac:dyDescent="0.4">
      <c r="C31" s="17"/>
      <c r="D31" s="17" t="s">
        <v>488</v>
      </c>
      <c r="E31" s="282">
        <v>8</v>
      </c>
      <c r="F31" s="383">
        <v>2</v>
      </c>
      <c r="G31" s="384">
        <v>5</v>
      </c>
      <c r="H31" s="384">
        <v>5</v>
      </c>
      <c r="I31" s="384">
        <v>4</v>
      </c>
      <c r="J31" s="384">
        <v>5</v>
      </c>
      <c r="K31" s="384">
        <v>5</v>
      </c>
      <c r="L31" s="384">
        <v>4</v>
      </c>
      <c r="M31" s="384">
        <v>3</v>
      </c>
      <c r="N31" s="384">
        <v>3</v>
      </c>
      <c r="O31" s="74">
        <v>3</v>
      </c>
      <c r="P31" s="32">
        <f>MIN(F31:O31)</f>
        <v>2</v>
      </c>
      <c r="Q31" s="6">
        <f>E31-P31</f>
        <v>6</v>
      </c>
      <c r="R31" s="59">
        <f>Q31/E31</f>
        <v>0.75</v>
      </c>
      <c r="T31" s="182"/>
      <c r="U31" s="182"/>
    </row>
    <row r="32" spans="3:21" ht="9.75" customHeight="1" x14ac:dyDescent="0.4">
      <c r="C32" s="17"/>
      <c r="D32" s="17" t="s">
        <v>489</v>
      </c>
      <c r="E32" s="17">
        <v>2</v>
      </c>
      <c r="F32" s="32"/>
      <c r="G32" s="6"/>
      <c r="H32" s="6"/>
      <c r="I32" s="6"/>
      <c r="J32" s="6"/>
      <c r="K32" s="6"/>
      <c r="L32" s="6"/>
      <c r="M32" s="6"/>
      <c r="N32" s="6"/>
      <c r="O32" s="74"/>
      <c r="P32" s="32"/>
      <c r="Q32" s="6"/>
      <c r="R32" s="59"/>
      <c r="T32" s="182"/>
      <c r="U32" s="182"/>
    </row>
    <row r="33" spans="2:21" ht="9.75" customHeight="1" x14ac:dyDescent="0.4">
      <c r="C33" s="17"/>
      <c r="D33" s="17" t="s">
        <v>372</v>
      </c>
      <c r="E33" s="17">
        <v>8</v>
      </c>
      <c r="F33" s="32">
        <v>6</v>
      </c>
      <c r="G33" s="6">
        <v>5</v>
      </c>
      <c r="H33" s="6">
        <v>2</v>
      </c>
      <c r="I33" s="6">
        <v>5</v>
      </c>
      <c r="J33" s="6">
        <v>5</v>
      </c>
      <c r="K33" s="6">
        <v>3</v>
      </c>
      <c r="L33" s="6">
        <v>3</v>
      </c>
      <c r="M33" s="6">
        <v>4</v>
      </c>
      <c r="N33" s="6">
        <v>4</v>
      </c>
      <c r="O33" s="74">
        <v>4</v>
      </c>
      <c r="P33" s="32">
        <f t="shared" ref="P33:P34" si="1">MIN(F33:O33)</f>
        <v>2</v>
      </c>
      <c r="Q33" s="6">
        <f t="shared" ref="Q33:Q34" si="2">E33-P33</f>
        <v>6</v>
      </c>
      <c r="R33" s="59">
        <f t="shared" ref="R33:R34" si="3">Q33/E33</f>
        <v>0.75</v>
      </c>
      <c r="T33" s="182"/>
      <c r="U33" s="182"/>
    </row>
    <row r="34" spans="2:21" ht="9.75" customHeight="1" x14ac:dyDescent="0.4">
      <c r="C34" s="17"/>
      <c r="D34" s="17" t="s">
        <v>490</v>
      </c>
      <c r="E34" s="17">
        <v>17</v>
      </c>
      <c r="F34" s="54">
        <v>11</v>
      </c>
      <c r="G34" s="6">
        <v>10</v>
      </c>
      <c r="H34" s="6">
        <v>7</v>
      </c>
      <c r="I34" s="6">
        <v>5</v>
      </c>
      <c r="J34" s="6">
        <v>8</v>
      </c>
      <c r="K34" s="6">
        <v>6</v>
      </c>
      <c r="L34" s="6">
        <v>7</v>
      </c>
      <c r="M34" s="6">
        <v>11</v>
      </c>
      <c r="N34" s="6">
        <v>9</v>
      </c>
      <c r="O34" s="74">
        <v>11</v>
      </c>
      <c r="P34" s="54">
        <f t="shared" si="1"/>
        <v>5</v>
      </c>
      <c r="Q34" s="58">
        <f t="shared" si="2"/>
        <v>12</v>
      </c>
      <c r="R34" s="59">
        <f t="shared" si="3"/>
        <v>0.70588235294117652</v>
      </c>
      <c r="T34" s="182"/>
      <c r="U34" s="182"/>
    </row>
    <row r="35" spans="2:21" ht="9.75" customHeight="1" x14ac:dyDescent="0.4">
      <c r="C35" s="17"/>
      <c r="D35" s="17" t="s">
        <v>377</v>
      </c>
      <c r="E35" s="17"/>
      <c r="F35" s="32"/>
      <c r="G35" s="6"/>
      <c r="H35" s="6"/>
      <c r="I35" s="6"/>
      <c r="J35" s="6"/>
      <c r="K35" s="6"/>
      <c r="L35" s="6"/>
      <c r="M35" s="6"/>
      <c r="N35" s="6"/>
      <c r="O35" s="74"/>
      <c r="P35" s="32"/>
      <c r="Q35" s="6"/>
      <c r="R35" s="59"/>
      <c r="T35" s="182"/>
      <c r="U35" s="182"/>
    </row>
    <row r="36" spans="2:21" ht="9.75" customHeight="1" x14ac:dyDescent="0.4">
      <c r="C36" s="17"/>
      <c r="D36" s="17" t="s">
        <v>377</v>
      </c>
      <c r="E36" s="17"/>
      <c r="F36" s="32"/>
      <c r="G36" s="6"/>
      <c r="H36" s="6"/>
      <c r="I36" s="6"/>
      <c r="J36" s="6"/>
      <c r="K36" s="6"/>
      <c r="L36" s="6"/>
      <c r="M36" s="6"/>
      <c r="N36" s="6"/>
      <c r="O36" s="74"/>
      <c r="P36" s="32"/>
      <c r="Q36" s="6"/>
      <c r="R36" s="59"/>
      <c r="T36" s="182"/>
      <c r="U36" s="182"/>
    </row>
    <row r="37" spans="2:21" ht="9.75" customHeight="1" x14ac:dyDescent="0.4">
      <c r="C37" s="17"/>
      <c r="D37" s="17" t="s">
        <v>374</v>
      </c>
      <c r="E37" s="17"/>
      <c r="F37" s="32"/>
      <c r="G37" s="6"/>
      <c r="H37" s="6"/>
      <c r="I37" s="6"/>
      <c r="J37" s="6"/>
      <c r="K37" s="6"/>
      <c r="L37" s="6"/>
      <c r="M37" s="6"/>
      <c r="N37" s="6"/>
      <c r="O37" s="74"/>
      <c r="P37" s="32"/>
      <c r="Q37" s="6"/>
      <c r="R37" s="59"/>
      <c r="T37" s="182"/>
      <c r="U37" s="182"/>
    </row>
    <row r="38" spans="2:21" ht="9.75" customHeight="1" x14ac:dyDescent="0.4">
      <c r="C38" s="17"/>
      <c r="D38" s="17" t="s">
        <v>310</v>
      </c>
      <c r="E38" s="17">
        <v>11</v>
      </c>
      <c r="F38" s="350">
        <v>11</v>
      </c>
      <c r="G38" s="6">
        <v>8</v>
      </c>
      <c r="H38" s="6">
        <v>8</v>
      </c>
      <c r="I38" s="6">
        <v>7</v>
      </c>
      <c r="J38" s="6">
        <v>9</v>
      </c>
      <c r="K38" s="6">
        <v>8</v>
      </c>
      <c r="L38" s="6">
        <v>10</v>
      </c>
      <c r="M38" s="6">
        <v>10</v>
      </c>
      <c r="N38" s="6">
        <v>10</v>
      </c>
      <c r="O38" s="74">
        <v>10</v>
      </c>
      <c r="P38" s="32">
        <f t="shared" ref="P38:P39" si="4">MIN(F38:O38)</f>
        <v>7</v>
      </c>
      <c r="Q38" s="6">
        <f t="shared" ref="Q38:Q39" si="5">E38-P38</f>
        <v>4</v>
      </c>
      <c r="R38" s="59">
        <f t="shared" ref="R38:R39" si="6">Q38/E38</f>
        <v>0.36363636363636365</v>
      </c>
      <c r="T38" s="182"/>
      <c r="U38" s="182"/>
    </row>
    <row r="39" spans="2:21" ht="9.75" customHeight="1" x14ac:dyDescent="0.4">
      <c r="C39" s="17"/>
      <c r="D39" s="17" t="s">
        <v>491</v>
      </c>
      <c r="E39" s="17">
        <v>9</v>
      </c>
      <c r="F39" s="32">
        <v>8</v>
      </c>
      <c r="G39" s="6">
        <v>8</v>
      </c>
      <c r="H39" s="6">
        <v>8</v>
      </c>
      <c r="I39" s="6">
        <v>8</v>
      </c>
      <c r="J39" s="6">
        <v>8</v>
      </c>
      <c r="K39" s="6">
        <v>8</v>
      </c>
      <c r="L39" s="6">
        <v>8</v>
      </c>
      <c r="M39" s="6">
        <v>8</v>
      </c>
      <c r="N39" s="6">
        <v>8</v>
      </c>
      <c r="O39" s="74">
        <v>8</v>
      </c>
      <c r="P39" s="32">
        <f t="shared" si="4"/>
        <v>8</v>
      </c>
      <c r="Q39" s="6">
        <f t="shared" si="5"/>
        <v>1</v>
      </c>
      <c r="R39" s="59">
        <f t="shared" si="6"/>
        <v>0.1111111111111111</v>
      </c>
      <c r="T39" s="182"/>
      <c r="U39" s="182"/>
    </row>
    <row r="40" spans="2:21" ht="9.75" customHeight="1" x14ac:dyDescent="0.4">
      <c r="C40" s="17"/>
      <c r="D40" s="17" t="s">
        <v>312</v>
      </c>
      <c r="E40" s="17"/>
      <c r="F40" s="32"/>
      <c r="G40" s="6"/>
      <c r="H40" s="6"/>
      <c r="I40" s="6"/>
      <c r="J40" s="6"/>
      <c r="K40" s="6"/>
      <c r="L40" s="6"/>
      <c r="M40" s="6"/>
      <c r="N40" s="6"/>
      <c r="O40" s="74"/>
      <c r="P40" s="32"/>
      <c r="Q40" s="6"/>
      <c r="R40" s="59"/>
      <c r="T40" s="182"/>
      <c r="U40" s="182"/>
    </row>
    <row r="41" spans="2:21" ht="9.75" customHeight="1" x14ac:dyDescent="0.4">
      <c r="C41" s="17"/>
      <c r="D41" s="17" t="s">
        <v>313</v>
      </c>
      <c r="E41" s="17">
        <v>2</v>
      </c>
      <c r="F41" s="32">
        <v>1</v>
      </c>
      <c r="G41" s="6">
        <v>1</v>
      </c>
      <c r="H41" s="6">
        <v>2</v>
      </c>
      <c r="I41" s="6">
        <v>2</v>
      </c>
      <c r="J41" s="6">
        <v>2</v>
      </c>
      <c r="K41" s="6">
        <v>2</v>
      </c>
      <c r="L41" s="6">
        <v>0</v>
      </c>
      <c r="M41" s="6">
        <v>0</v>
      </c>
      <c r="N41" s="6">
        <v>0</v>
      </c>
      <c r="O41" s="74">
        <v>0</v>
      </c>
      <c r="P41" s="32">
        <f t="shared" ref="P41:P42" si="7">MIN(F41:O41)</f>
        <v>0</v>
      </c>
      <c r="Q41" s="6">
        <f t="shared" ref="Q41:Q42" si="8">E41-P41</f>
        <v>2</v>
      </c>
      <c r="R41" s="59">
        <f t="shared" ref="R41:R42" si="9">Q41/E41</f>
        <v>1</v>
      </c>
      <c r="T41" s="182"/>
      <c r="U41" s="182"/>
    </row>
    <row r="42" spans="2:21" ht="9.75" customHeight="1" x14ac:dyDescent="0.4">
      <c r="B42" s="219" t="s">
        <v>395</v>
      </c>
      <c r="C42" s="34"/>
      <c r="D42" s="104" t="s">
        <v>314</v>
      </c>
      <c r="E42" s="104">
        <f t="shared" ref="E42:O42" si="10">SUM(E25:E41)</f>
        <v>350</v>
      </c>
      <c r="F42" s="104">
        <f t="shared" si="10"/>
        <v>294</v>
      </c>
      <c r="G42" s="128">
        <f t="shared" si="10"/>
        <v>186</v>
      </c>
      <c r="H42" s="128">
        <f t="shared" si="10"/>
        <v>57</v>
      </c>
      <c r="I42" s="128">
        <f t="shared" si="10"/>
        <v>53</v>
      </c>
      <c r="J42" s="128">
        <f t="shared" si="10"/>
        <v>57</v>
      </c>
      <c r="K42" s="128">
        <f t="shared" si="10"/>
        <v>54</v>
      </c>
      <c r="L42" s="128">
        <f t="shared" si="10"/>
        <v>65</v>
      </c>
      <c r="M42" s="128">
        <f t="shared" si="10"/>
        <v>67</v>
      </c>
      <c r="N42" s="128">
        <f t="shared" si="10"/>
        <v>103</v>
      </c>
      <c r="O42" s="129">
        <f t="shared" si="10"/>
        <v>114</v>
      </c>
      <c r="P42" s="128">
        <f t="shared" si="7"/>
        <v>53</v>
      </c>
      <c r="Q42" s="128">
        <f t="shared" si="8"/>
        <v>297</v>
      </c>
      <c r="R42" s="72">
        <f t="shared" si="9"/>
        <v>0.84857142857142853</v>
      </c>
      <c r="T42" s="182"/>
      <c r="U42" s="182"/>
    </row>
    <row r="43" spans="2:21" ht="9.75" customHeight="1" x14ac:dyDescent="0.4">
      <c r="C43" s="15" t="s">
        <v>102</v>
      </c>
      <c r="D43" s="15" t="s">
        <v>300</v>
      </c>
      <c r="E43" s="17"/>
      <c r="F43" s="32"/>
      <c r="G43" s="6"/>
      <c r="H43" s="6"/>
      <c r="I43" s="6"/>
      <c r="J43" s="6"/>
      <c r="K43" s="6"/>
      <c r="L43" s="6"/>
      <c r="M43" s="6"/>
      <c r="N43" s="6"/>
      <c r="O43" s="31"/>
      <c r="P43" s="73"/>
      <c r="Q43" s="108"/>
      <c r="R43" s="188"/>
      <c r="T43" s="182"/>
      <c r="U43" s="182"/>
    </row>
    <row r="44" spans="2:21" ht="9.75" customHeight="1" x14ac:dyDescent="0.4">
      <c r="C44" s="17"/>
      <c r="D44" s="17" t="s">
        <v>301</v>
      </c>
      <c r="E44" s="17"/>
      <c r="F44" s="32"/>
      <c r="G44" s="6"/>
      <c r="H44" s="6"/>
      <c r="I44" s="6"/>
      <c r="J44" s="6"/>
      <c r="K44" s="6"/>
      <c r="L44" s="6"/>
      <c r="M44" s="6"/>
      <c r="N44" s="6"/>
      <c r="O44" s="31"/>
      <c r="P44" s="32"/>
      <c r="Q44" s="6"/>
      <c r="R44" s="59"/>
      <c r="T44" s="182"/>
      <c r="U44" s="182"/>
    </row>
    <row r="45" spans="2:21" ht="9.75" customHeight="1" x14ac:dyDescent="0.4">
      <c r="C45" s="17"/>
      <c r="D45" s="17" t="s">
        <v>306</v>
      </c>
      <c r="E45" s="17">
        <v>619</v>
      </c>
      <c r="F45" s="32">
        <v>513</v>
      </c>
      <c r="G45" s="6">
        <v>396</v>
      </c>
      <c r="H45" s="6">
        <v>264</v>
      </c>
      <c r="I45" s="6">
        <v>269</v>
      </c>
      <c r="J45" s="6">
        <v>280</v>
      </c>
      <c r="K45" s="6">
        <v>244</v>
      </c>
      <c r="L45" s="58">
        <v>225</v>
      </c>
      <c r="M45" s="6">
        <v>247</v>
      </c>
      <c r="N45" s="6">
        <v>309</v>
      </c>
      <c r="O45" s="31">
        <v>372</v>
      </c>
      <c r="P45" s="32">
        <f>MIN(F45:O45)</f>
        <v>225</v>
      </c>
      <c r="Q45" s="6">
        <f>E45-P45</f>
        <v>394</v>
      </c>
      <c r="R45" s="59">
        <f>Q45/E45</f>
        <v>0.6365105008077544</v>
      </c>
      <c r="T45" s="182"/>
      <c r="U45" s="182"/>
    </row>
    <row r="46" spans="2:21" ht="9.75" customHeight="1" x14ac:dyDescent="0.4">
      <c r="C46" s="17"/>
      <c r="D46" s="17" t="s">
        <v>369</v>
      </c>
      <c r="E46" s="17"/>
      <c r="F46" s="32"/>
      <c r="G46" s="6"/>
      <c r="H46" s="6"/>
      <c r="I46" s="6"/>
      <c r="J46" s="6"/>
      <c r="K46" s="6"/>
      <c r="L46" s="6"/>
      <c r="M46" s="6"/>
      <c r="N46" s="6"/>
      <c r="O46" s="31"/>
      <c r="P46" s="32"/>
      <c r="Q46" s="6"/>
      <c r="R46" s="59"/>
      <c r="T46" s="182"/>
      <c r="U46" s="182"/>
    </row>
    <row r="47" spans="2:21" ht="9.75" customHeight="1" x14ac:dyDescent="0.4">
      <c r="C47" s="17"/>
      <c r="D47" s="17" t="s">
        <v>369</v>
      </c>
      <c r="E47" s="17"/>
      <c r="F47" s="32"/>
      <c r="G47" s="6"/>
      <c r="H47" s="6"/>
      <c r="I47" s="6"/>
      <c r="J47" s="6"/>
      <c r="K47" s="6"/>
      <c r="L47" s="6"/>
      <c r="M47" s="6"/>
      <c r="N47" s="6"/>
      <c r="O47" s="31"/>
      <c r="P47" s="32"/>
      <c r="Q47" s="6"/>
      <c r="R47" s="59"/>
      <c r="T47" s="182"/>
      <c r="U47" s="182"/>
    </row>
    <row r="48" spans="2:21" ht="9.75" customHeight="1" x14ac:dyDescent="0.4">
      <c r="C48" s="17"/>
      <c r="D48" s="17" t="s">
        <v>308</v>
      </c>
      <c r="E48" s="17"/>
      <c r="F48" s="32"/>
      <c r="G48" s="6"/>
      <c r="H48" s="6"/>
      <c r="I48" s="6"/>
      <c r="J48" s="6"/>
      <c r="K48" s="6"/>
      <c r="L48" s="6"/>
      <c r="M48" s="6"/>
      <c r="N48" s="6"/>
      <c r="O48" s="31"/>
      <c r="P48" s="32"/>
      <c r="Q48" s="6"/>
      <c r="R48" s="59"/>
      <c r="T48" s="182"/>
      <c r="U48" s="182"/>
    </row>
    <row r="49" spans="2:24" ht="9.75" customHeight="1" x14ac:dyDescent="0.4">
      <c r="C49" s="17"/>
      <c r="D49" s="17" t="s">
        <v>374</v>
      </c>
      <c r="E49" s="17"/>
      <c r="F49" s="32"/>
      <c r="G49" s="6"/>
      <c r="H49" s="6"/>
      <c r="I49" s="6"/>
      <c r="J49" s="6"/>
      <c r="K49" s="6"/>
      <c r="L49" s="6"/>
      <c r="M49" s="6"/>
      <c r="N49" s="6"/>
      <c r="O49" s="31"/>
      <c r="P49" s="32"/>
      <c r="Q49" s="6"/>
      <c r="R49" s="59"/>
      <c r="T49" s="182"/>
      <c r="U49" s="182"/>
    </row>
    <row r="50" spans="2:24" ht="9.75" customHeight="1" x14ac:dyDescent="0.4">
      <c r="C50" s="17"/>
      <c r="D50" s="17" t="s">
        <v>374</v>
      </c>
      <c r="E50" s="17"/>
      <c r="F50" s="32"/>
      <c r="G50" s="6"/>
      <c r="H50" s="6"/>
      <c r="I50" s="6"/>
      <c r="J50" s="6"/>
      <c r="K50" s="6"/>
      <c r="L50" s="6"/>
      <c r="M50" s="6"/>
      <c r="N50" s="6"/>
      <c r="O50" s="31"/>
      <c r="P50" s="32"/>
      <c r="Q50" s="6"/>
      <c r="R50" s="59"/>
      <c r="T50" s="182"/>
      <c r="U50" s="182"/>
    </row>
    <row r="51" spans="2:24" ht="9.75" customHeight="1" x14ac:dyDescent="0.4">
      <c r="C51" s="17"/>
      <c r="D51" s="17" t="s">
        <v>374</v>
      </c>
      <c r="E51" s="17"/>
      <c r="F51" s="32"/>
      <c r="G51" s="6"/>
      <c r="H51" s="6"/>
      <c r="I51" s="6"/>
      <c r="J51" s="6"/>
      <c r="K51" s="6"/>
      <c r="L51" s="6"/>
      <c r="M51" s="6"/>
      <c r="N51" s="6"/>
      <c r="O51" s="31"/>
      <c r="P51" s="32"/>
      <c r="Q51" s="6"/>
      <c r="R51" s="59"/>
      <c r="T51" s="182"/>
      <c r="U51" s="182"/>
    </row>
    <row r="52" spans="2:24" ht="9.75" customHeight="1" x14ac:dyDescent="0.4">
      <c r="C52" s="17"/>
      <c r="D52" s="17" t="s">
        <v>374</v>
      </c>
      <c r="E52" s="17"/>
      <c r="F52" s="32"/>
      <c r="G52" s="6"/>
      <c r="H52" s="6"/>
      <c r="I52" s="6"/>
      <c r="J52" s="6"/>
      <c r="K52" s="6"/>
      <c r="L52" s="6"/>
      <c r="M52" s="6"/>
      <c r="N52" s="6"/>
      <c r="O52" s="31"/>
      <c r="P52" s="32"/>
      <c r="Q52" s="6"/>
      <c r="R52" s="59"/>
      <c r="T52" s="182"/>
      <c r="U52" s="182"/>
    </row>
    <row r="53" spans="2:24" ht="9.75" customHeight="1" x14ac:dyDescent="0.4">
      <c r="C53" s="17"/>
      <c r="D53" s="17" t="s">
        <v>374</v>
      </c>
      <c r="E53" s="17"/>
      <c r="F53" s="32"/>
      <c r="G53" s="6"/>
      <c r="H53" s="6"/>
      <c r="I53" s="6"/>
      <c r="J53" s="6"/>
      <c r="K53" s="6"/>
      <c r="L53" s="6"/>
      <c r="M53" s="6"/>
      <c r="N53" s="6"/>
      <c r="O53" s="31"/>
      <c r="P53" s="32"/>
      <c r="Q53" s="6"/>
      <c r="R53" s="59"/>
      <c r="T53" s="182"/>
      <c r="U53" s="182"/>
    </row>
    <row r="54" spans="2:24" ht="9.75" customHeight="1" x14ac:dyDescent="0.4">
      <c r="C54" s="17"/>
      <c r="D54" s="17" t="s">
        <v>374</v>
      </c>
      <c r="E54" s="17"/>
      <c r="F54" s="32"/>
      <c r="G54" s="6"/>
      <c r="H54" s="6"/>
      <c r="I54" s="6"/>
      <c r="J54" s="6"/>
      <c r="K54" s="6"/>
      <c r="L54" s="6"/>
      <c r="M54" s="6"/>
      <c r="N54" s="6"/>
      <c r="O54" s="31"/>
      <c r="P54" s="32"/>
      <c r="Q54" s="6"/>
      <c r="R54" s="59"/>
      <c r="T54" s="182"/>
      <c r="U54" s="182"/>
    </row>
    <row r="55" spans="2:24" ht="9.75" customHeight="1" x14ac:dyDescent="0.4">
      <c r="C55" s="17"/>
      <c r="D55" s="17" t="s">
        <v>310</v>
      </c>
      <c r="E55" s="17"/>
      <c r="F55" s="32"/>
      <c r="G55" s="6"/>
      <c r="H55" s="6"/>
      <c r="I55" s="6"/>
      <c r="J55" s="6"/>
      <c r="K55" s="6"/>
      <c r="L55" s="6"/>
      <c r="M55" s="6"/>
      <c r="N55" s="6"/>
      <c r="O55" s="31"/>
      <c r="P55" s="32"/>
      <c r="Q55" s="6"/>
      <c r="R55" s="59"/>
      <c r="T55" s="182"/>
      <c r="U55" s="182"/>
    </row>
    <row r="56" spans="2:24" ht="9.75" customHeight="1" x14ac:dyDescent="0.4">
      <c r="C56" s="17"/>
      <c r="D56" s="17" t="s">
        <v>311</v>
      </c>
      <c r="E56" s="17"/>
      <c r="F56" s="32"/>
      <c r="G56" s="6"/>
      <c r="H56" s="6"/>
      <c r="I56" s="6"/>
      <c r="J56" s="6"/>
      <c r="K56" s="6"/>
      <c r="L56" s="6"/>
      <c r="M56" s="6"/>
      <c r="N56" s="6"/>
      <c r="O56" s="31"/>
      <c r="P56" s="32"/>
      <c r="Q56" s="6"/>
      <c r="R56" s="59"/>
      <c r="T56" s="182"/>
      <c r="U56" s="182"/>
    </row>
    <row r="57" spans="2:24" ht="9.75" customHeight="1" x14ac:dyDescent="0.4">
      <c r="C57" s="17"/>
      <c r="D57" s="17" t="s">
        <v>312</v>
      </c>
      <c r="E57" s="17"/>
      <c r="F57" s="32"/>
      <c r="G57" s="6"/>
      <c r="H57" s="6"/>
      <c r="I57" s="6"/>
      <c r="J57" s="6"/>
      <c r="K57" s="6"/>
      <c r="L57" s="6"/>
      <c r="M57" s="6"/>
      <c r="N57" s="6"/>
      <c r="O57" s="31"/>
      <c r="P57" s="32"/>
      <c r="Q57" s="6"/>
      <c r="R57" s="59"/>
      <c r="T57" s="182"/>
      <c r="U57" s="182"/>
    </row>
    <row r="58" spans="2:24" ht="9.75" customHeight="1" x14ac:dyDescent="0.4">
      <c r="C58" s="17"/>
      <c r="D58" s="17" t="s">
        <v>313</v>
      </c>
      <c r="E58" s="17"/>
      <c r="F58" s="32"/>
      <c r="G58" s="6"/>
      <c r="H58" s="6"/>
      <c r="I58" s="6"/>
      <c r="J58" s="6"/>
      <c r="K58" s="6"/>
      <c r="L58" s="6"/>
      <c r="M58" s="6"/>
      <c r="N58" s="6"/>
      <c r="O58" s="31"/>
      <c r="P58" s="32"/>
      <c r="Q58" s="6"/>
      <c r="R58" s="59"/>
      <c r="T58" s="182"/>
      <c r="U58" s="182"/>
    </row>
    <row r="59" spans="2:24" ht="9.75" customHeight="1" x14ac:dyDescent="0.4">
      <c r="B59" s="219" t="s">
        <v>395</v>
      </c>
      <c r="C59" s="34"/>
      <c r="D59" s="104" t="s">
        <v>314</v>
      </c>
      <c r="E59" s="104">
        <f t="shared" ref="E59:O59" si="11">SUM(E43:E58)</f>
        <v>619</v>
      </c>
      <c r="F59" s="104">
        <f t="shared" si="11"/>
        <v>513</v>
      </c>
      <c r="G59" s="128">
        <f t="shared" si="11"/>
        <v>396</v>
      </c>
      <c r="H59" s="128">
        <f t="shared" si="11"/>
        <v>264</v>
      </c>
      <c r="I59" s="128">
        <f t="shared" si="11"/>
        <v>269</v>
      </c>
      <c r="J59" s="128">
        <f t="shared" si="11"/>
        <v>280</v>
      </c>
      <c r="K59" s="128">
        <f t="shared" si="11"/>
        <v>244</v>
      </c>
      <c r="L59" s="128">
        <f t="shared" si="11"/>
        <v>225</v>
      </c>
      <c r="M59" s="128">
        <f t="shared" si="11"/>
        <v>247</v>
      </c>
      <c r="N59" s="128">
        <f t="shared" si="11"/>
        <v>309</v>
      </c>
      <c r="O59" s="129">
        <f t="shared" si="11"/>
        <v>372</v>
      </c>
      <c r="P59" s="128">
        <f>MIN(F59:O59)</f>
        <v>225</v>
      </c>
      <c r="Q59" s="128">
        <f>E59-P59</f>
        <v>394</v>
      </c>
      <c r="R59" s="72">
        <f>Q59/E59</f>
        <v>0.6365105008077544</v>
      </c>
      <c r="T59" s="182"/>
      <c r="U59" s="182"/>
    </row>
    <row r="60" spans="2:24" ht="9.75" customHeight="1" x14ac:dyDescent="0.4">
      <c r="C60" s="15" t="s">
        <v>120</v>
      </c>
      <c r="D60" s="15" t="s">
        <v>300</v>
      </c>
      <c r="E60" s="17"/>
      <c r="F60" s="32"/>
      <c r="G60" s="6"/>
      <c r="H60" s="6"/>
      <c r="I60" s="6"/>
      <c r="J60" s="6"/>
      <c r="K60" s="6"/>
      <c r="L60" s="6"/>
      <c r="M60" s="6"/>
      <c r="N60" s="6"/>
      <c r="O60" s="31"/>
      <c r="P60" s="73"/>
      <c r="Q60" s="108"/>
      <c r="R60" s="188"/>
      <c r="T60" s="182"/>
      <c r="U60" s="182"/>
    </row>
    <row r="61" spans="2:24" ht="9.75" customHeight="1" x14ac:dyDescent="0.4">
      <c r="C61" s="17"/>
      <c r="D61" s="17" t="s">
        <v>301</v>
      </c>
      <c r="E61" s="17"/>
      <c r="F61" s="32"/>
      <c r="G61" s="6"/>
      <c r="H61" s="6"/>
      <c r="I61" s="6"/>
      <c r="J61" s="6"/>
      <c r="K61" s="6"/>
      <c r="L61" s="6"/>
      <c r="M61" s="6"/>
      <c r="N61" s="6"/>
      <c r="O61" s="31"/>
      <c r="P61" s="32"/>
      <c r="Q61" s="6"/>
      <c r="R61" s="59"/>
      <c r="T61" s="182"/>
      <c r="U61" s="182"/>
    </row>
    <row r="62" spans="2:24" ht="9.75" customHeight="1" x14ac:dyDescent="0.4">
      <c r="C62" s="17"/>
      <c r="D62" s="17" t="s">
        <v>306</v>
      </c>
      <c r="E62" s="17">
        <v>468</v>
      </c>
      <c r="F62" s="83">
        <v>427</v>
      </c>
      <c r="G62" s="74">
        <v>404</v>
      </c>
      <c r="H62" s="74">
        <v>381</v>
      </c>
      <c r="I62" s="74">
        <v>381</v>
      </c>
      <c r="J62" s="74">
        <v>382</v>
      </c>
      <c r="K62" s="58">
        <v>384</v>
      </c>
      <c r="L62" s="6">
        <v>398</v>
      </c>
      <c r="M62" s="6">
        <v>387</v>
      </c>
      <c r="N62" s="6">
        <v>389</v>
      </c>
      <c r="O62" s="31">
        <v>378</v>
      </c>
      <c r="P62" s="54">
        <f>MIN(F62:O62)</f>
        <v>378</v>
      </c>
      <c r="Q62" s="58">
        <f>E62-P62</f>
        <v>90</v>
      </c>
      <c r="R62" s="59">
        <f>Q62/E62</f>
        <v>0.19230769230769232</v>
      </c>
      <c r="T62" s="182"/>
      <c r="U62" s="182"/>
      <c r="V62" s="1"/>
      <c r="W62" s="1"/>
      <c r="X62" s="1"/>
    </row>
    <row r="63" spans="2:24" ht="9.75" customHeight="1" x14ac:dyDescent="0.4">
      <c r="C63" s="17"/>
      <c r="D63" s="17" t="s">
        <v>369</v>
      </c>
      <c r="E63" s="17"/>
      <c r="F63" s="32"/>
      <c r="G63" s="6"/>
      <c r="H63" s="6"/>
      <c r="I63" s="6"/>
      <c r="J63" s="6"/>
      <c r="K63" s="58"/>
      <c r="L63" s="58"/>
      <c r="M63" s="58"/>
      <c r="N63" s="58"/>
      <c r="O63" s="58"/>
      <c r="P63" s="32"/>
      <c r="Q63" s="6"/>
      <c r="R63" s="59"/>
      <c r="T63" s="182"/>
      <c r="U63" s="182"/>
      <c r="V63" s="1"/>
      <c r="W63" s="1"/>
      <c r="X63" s="1"/>
    </row>
    <row r="64" spans="2:24" ht="9.75" customHeight="1" x14ac:dyDescent="0.4">
      <c r="C64" s="17"/>
      <c r="D64" s="17" t="s">
        <v>369</v>
      </c>
      <c r="E64" s="17"/>
      <c r="F64" s="32"/>
      <c r="G64" s="6"/>
      <c r="H64" s="6"/>
      <c r="I64" s="6"/>
      <c r="J64" s="6"/>
      <c r="K64" s="6"/>
      <c r="L64" s="6"/>
      <c r="M64" s="6"/>
      <c r="N64" s="6"/>
      <c r="O64" s="31"/>
      <c r="P64" s="32"/>
      <c r="Q64" s="6"/>
      <c r="R64" s="59"/>
      <c r="T64" s="182"/>
      <c r="U64" s="182"/>
      <c r="V64" s="1"/>
      <c r="W64" s="1"/>
      <c r="X64" s="1"/>
    </row>
    <row r="65" spans="2:24" ht="9.75" customHeight="1" x14ac:dyDescent="0.4">
      <c r="C65" s="17"/>
      <c r="D65" s="17" t="s">
        <v>308</v>
      </c>
      <c r="E65" s="17"/>
      <c r="F65" s="32"/>
      <c r="G65" s="6"/>
      <c r="H65" s="6"/>
      <c r="I65" s="6"/>
      <c r="J65" s="6"/>
      <c r="K65" s="6"/>
      <c r="L65" s="6"/>
      <c r="M65" s="6"/>
      <c r="N65" s="6"/>
      <c r="O65" s="31"/>
      <c r="P65" s="32"/>
      <c r="Q65" s="6"/>
      <c r="R65" s="59"/>
      <c r="T65" s="182"/>
      <c r="U65" s="182"/>
      <c r="V65" s="1"/>
      <c r="W65" s="1"/>
      <c r="X65" s="1"/>
    </row>
    <row r="66" spans="2:24" ht="9.75" customHeight="1" x14ac:dyDescent="0.4">
      <c r="C66" s="17"/>
      <c r="D66" s="17" t="s">
        <v>374</v>
      </c>
      <c r="E66" s="17"/>
      <c r="F66" s="32"/>
      <c r="G66" s="6"/>
      <c r="H66" s="6"/>
      <c r="I66" s="6"/>
      <c r="J66" s="6"/>
      <c r="K66" s="58"/>
      <c r="L66" s="6"/>
      <c r="M66" s="6"/>
      <c r="N66" s="6"/>
      <c r="O66" s="31"/>
      <c r="P66" s="32"/>
      <c r="Q66" s="6"/>
      <c r="R66" s="59"/>
      <c r="T66" s="182"/>
      <c r="U66" s="182"/>
      <c r="V66" s="1"/>
      <c r="W66" s="1"/>
      <c r="X66" s="1"/>
    </row>
    <row r="67" spans="2:24" ht="9.75" customHeight="1" x14ac:dyDescent="0.4">
      <c r="C67" s="17"/>
      <c r="D67" s="17" t="s">
        <v>374</v>
      </c>
      <c r="E67" s="17"/>
      <c r="F67" s="32"/>
      <c r="G67" s="6"/>
      <c r="H67" s="6"/>
      <c r="I67" s="6"/>
      <c r="J67" s="6"/>
      <c r="K67" s="6"/>
      <c r="L67" s="6"/>
      <c r="M67" s="6"/>
      <c r="N67" s="6"/>
      <c r="O67" s="31"/>
      <c r="P67" s="32"/>
      <c r="Q67" s="6"/>
      <c r="R67" s="59"/>
      <c r="T67" s="182"/>
      <c r="U67" s="182"/>
      <c r="V67" s="1"/>
      <c r="W67" s="1"/>
      <c r="X67" s="1"/>
    </row>
    <row r="68" spans="2:24" ht="9.75" customHeight="1" x14ac:dyDescent="0.4">
      <c r="C68" s="17"/>
      <c r="D68" s="17" t="s">
        <v>374</v>
      </c>
      <c r="E68" s="17"/>
      <c r="F68" s="32"/>
      <c r="G68" s="6"/>
      <c r="H68" s="6"/>
      <c r="I68" s="6"/>
      <c r="J68" s="6"/>
      <c r="K68" s="6"/>
      <c r="L68" s="6"/>
      <c r="M68" s="6"/>
      <c r="N68" s="6"/>
      <c r="O68" s="31"/>
      <c r="P68" s="32"/>
      <c r="Q68" s="6"/>
      <c r="R68" s="59"/>
      <c r="T68" s="182"/>
      <c r="U68" s="182"/>
      <c r="V68" s="1"/>
      <c r="W68" s="1"/>
      <c r="X68" s="1"/>
    </row>
    <row r="69" spans="2:24" ht="9.75" customHeight="1" x14ac:dyDescent="0.4">
      <c r="C69" s="17"/>
      <c r="D69" s="17" t="s">
        <v>374</v>
      </c>
      <c r="E69" s="17"/>
      <c r="F69" s="32"/>
      <c r="G69" s="6"/>
      <c r="H69" s="6"/>
      <c r="I69" s="6"/>
      <c r="J69" s="6"/>
      <c r="K69" s="6"/>
      <c r="L69" s="6"/>
      <c r="M69" s="6"/>
      <c r="N69" s="6"/>
      <c r="O69" s="31"/>
      <c r="P69" s="32"/>
      <c r="Q69" s="6"/>
      <c r="R69" s="59"/>
      <c r="T69" s="182"/>
      <c r="U69" s="182"/>
      <c r="V69" s="1"/>
      <c r="W69" s="1"/>
      <c r="X69" s="1"/>
    </row>
    <row r="70" spans="2:24" ht="9.75" customHeight="1" x14ac:dyDescent="0.4">
      <c r="C70" s="17"/>
      <c r="D70" s="17" t="s">
        <v>374</v>
      </c>
      <c r="E70" s="17"/>
      <c r="F70" s="32"/>
      <c r="G70" s="6"/>
      <c r="H70" s="6"/>
      <c r="I70" s="6"/>
      <c r="J70" s="6"/>
      <c r="K70" s="6"/>
      <c r="L70" s="6"/>
      <c r="M70" s="6"/>
      <c r="N70" s="6"/>
      <c r="O70" s="31"/>
      <c r="P70" s="32"/>
      <c r="Q70" s="6"/>
      <c r="R70" s="59"/>
      <c r="T70" s="182"/>
      <c r="U70" s="182"/>
      <c r="V70" s="1"/>
      <c r="W70" s="1"/>
      <c r="X70" s="1"/>
    </row>
    <row r="71" spans="2:24" ht="9.75" customHeight="1" x14ac:dyDescent="0.4">
      <c r="C71" s="17"/>
      <c r="D71" s="17" t="s">
        <v>374</v>
      </c>
      <c r="E71" s="17"/>
      <c r="F71" s="32"/>
      <c r="G71" s="6"/>
      <c r="H71" s="6"/>
      <c r="I71" s="6"/>
      <c r="J71" s="6"/>
      <c r="K71" s="6"/>
      <c r="L71" s="6"/>
      <c r="M71" s="6"/>
      <c r="N71" s="6"/>
      <c r="O71" s="31"/>
      <c r="P71" s="32"/>
      <c r="Q71" s="6"/>
      <c r="R71" s="59"/>
      <c r="T71" s="182"/>
      <c r="U71" s="182"/>
      <c r="V71" s="1"/>
      <c r="W71" s="1"/>
      <c r="X71" s="1"/>
    </row>
    <row r="72" spans="2:24" ht="9.75" customHeight="1" x14ac:dyDescent="0.4">
      <c r="C72" s="17"/>
      <c r="D72" s="17" t="s">
        <v>310</v>
      </c>
      <c r="E72" s="17"/>
      <c r="F72" s="32"/>
      <c r="G72" s="6"/>
      <c r="H72" s="6"/>
      <c r="I72" s="6"/>
      <c r="J72" s="6"/>
      <c r="K72" s="6"/>
      <c r="L72" s="6"/>
      <c r="M72" s="6"/>
      <c r="N72" s="6"/>
      <c r="O72" s="31"/>
      <c r="P72" s="32"/>
      <c r="Q72" s="6"/>
      <c r="R72" s="59"/>
      <c r="T72" s="182"/>
      <c r="U72" s="182"/>
      <c r="V72" s="1"/>
      <c r="W72" s="1"/>
      <c r="X72" s="1"/>
    </row>
    <row r="73" spans="2:24" ht="9.75" customHeight="1" x14ac:dyDescent="0.4">
      <c r="C73" s="17"/>
      <c r="D73" s="17" t="s">
        <v>311</v>
      </c>
      <c r="E73" s="17"/>
      <c r="F73" s="32"/>
      <c r="G73" s="6"/>
      <c r="H73" s="6"/>
      <c r="I73" s="6"/>
      <c r="J73" s="6"/>
      <c r="K73" s="6"/>
      <c r="L73" s="6"/>
      <c r="M73" s="6"/>
      <c r="N73" s="6"/>
      <c r="O73" s="31"/>
      <c r="P73" s="32"/>
      <c r="Q73" s="6"/>
      <c r="R73" s="59"/>
      <c r="T73" s="182"/>
      <c r="U73" s="182"/>
      <c r="V73" s="1"/>
      <c r="W73" s="1"/>
      <c r="X73" s="1"/>
    </row>
    <row r="74" spans="2:24" ht="9.75" customHeight="1" x14ac:dyDescent="0.4">
      <c r="C74" s="17"/>
      <c r="D74" s="17" t="s">
        <v>312</v>
      </c>
      <c r="E74" s="17"/>
      <c r="F74" s="32"/>
      <c r="G74" s="6"/>
      <c r="H74" s="6"/>
      <c r="I74" s="6"/>
      <c r="J74" s="6"/>
      <c r="K74" s="6"/>
      <c r="L74" s="6"/>
      <c r="M74" s="6"/>
      <c r="N74" s="6"/>
      <c r="O74" s="31"/>
      <c r="P74" s="32"/>
      <c r="Q74" s="6"/>
      <c r="R74" s="59"/>
      <c r="T74" s="182"/>
      <c r="U74" s="182"/>
      <c r="V74" s="1"/>
      <c r="W74" s="1"/>
      <c r="X74" s="1"/>
    </row>
    <row r="75" spans="2:24" ht="9.75" customHeight="1" x14ac:dyDescent="0.4">
      <c r="C75" s="17"/>
      <c r="D75" s="17" t="s">
        <v>313</v>
      </c>
      <c r="E75" s="17"/>
      <c r="F75" s="32"/>
      <c r="G75" s="6"/>
      <c r="H75" s="6"/>
      <c r="I75" s="6"/>
      <c r="J75" s="6"/>
      <c r="K75" s="6"/>
      <c r="L75" s="6"/>
      <c r="M75" s="6"/>
      <c r="N75" s="6"/>
      <c r="O75" s="31"/>
      <c r="P75" s="32"/>
      <c r="Q75" s="6"/>
      <c r="R75" s="59"/>
      <c r="T75" s="182"/>
      <c r="U75" s="182"/>
      <c r="V75" s="1"/>
      <c r="W75" s="1"/>
      <c r="X75" s="1"/>
    </row>
    <row r="76" spans="2:24" ht="9.75" customHeight="1" x14ac:dyDescent="0.4">
      <c r="B76" s="219" t="s">
        <v>395</v>
      </c>
      <c r="C76" s="34"/>
      <c r="D76" s="104" t="s">
        <v>314</v>
      </c>
      <c r="E76" s="104">
        <f t="shared" ref="E76:O76" si="12">SUM(E60:E75)</f>
        <v>468</v>
      </c>
      <c r="F76" s="104">
        <f t="shared" si="12"/>
        <v>427</v>
      </c>
      <c r="G76" s="128">
        <f t="shared" si="12"/>
        <v>404</v>
      </c>
      <c r="H76" s="128">
        <f t="shared" si="12"/>
        <v>381</v>
      </c>
      <c r="I76" s="128">
        <f t="shared" si="12"/>
        <v>381</v>
      </c>
      <c r="J76" s="128">
        <f t="shared" si="12"/>
        <v>382</v>
      </c>
      <c r="K76" s="128">
        <f t="shared" si="12"/>
        <v>384</v>
      </c>
      <c r="L76" s="128">
        <f t="shared" si="12"/>
        <v>398</v>
      </c>
      <c r="M76" s="128">
        <f t="shared" si="12"/>
        <v>387</v>
      </c>
      <c r="N76" s="128">
        <f t="shared" si="12"/>
        <v>389</v>
      </c>
      <c r="O76" s="129">
        <f t="shared" si="12"/>
        <v>378</v>
      </c>
      <c r="P76" s="128">
        <f>MIN(F76:O76)</f>
        <v>378</v>
      </c>
      <c r="Q76" s="128">
        <f>E76-P76</f>
        <v>90</v>
      </c>
      <c r="R76" s="72">
        <f>Q76/E76</f>
        <v>0.19230769230769232</v>
      </c>
      <c r="T76" s="182"/>
      <c r="U76" s="182"/>
      <c r="V76" s="1"/>
      <c r="W76" s="1"/>
      <c r="X76" s="1"/>
    </row>
    <row r="77" spans="2:24" ht="9.75" customHeight="1" x14ac:dyDescent="0.4">
      <c r="C77" s="15" t="s">
        <v>137</v>
      </c>
      <c r="D77" s="15" t="s">
        <v>300</v>
      </c>
      <c r="E77" s="17"/>
      <c r="F77" s="32"/>
      <c r="G77" s="6"/>
      <c r="H77" s="6"/>
      <c r="I77" s="6"/>
      <c r="J77" s="6"/>
      <c r="K77" s="6"/>
      <c r="L77" s="6"/>
      <c r="M77" s="6"/>
      <c r="N77" s="6"/>
      <c r="O77" s="31"/>
      <c r="P77" s="73"/>
      <c r="Q77" s="108"/>
      <c r="R77" s="188"/>
      <c r="T77" s="182"/>
      <c r="U77" s="182"/>
      <c r="V77" s="1"/>
      <c r="W77" s="1"/>
      <c r="X77" s="1"/>
    </row>
    <row r="78" spans="2:24" ht="9.75" customHeight="1" x14ac:dyDescent="0.4">
      <c r="C78" s="17"/>
      <c r="D78" s="17" t="s">
        <v>301</v>
      </c>
      <c r="E78" s="17"/>
      <c r="F78" s="32"/>
      <c r="G78" s="6"/>
      <c r="H78" s="6"/>
      <c r="I78" s="6"/>
      <c r="J78" s="6"/>
      <c r="K78" s="6"/>
      <c r="L78" s="6"/>
      <c r="M78" s="6"/>
      <c r="N78" s="6"/>
      <c r="O78" s="31"/>
      <c r="P78" s="32"/>
      <c r="Q78" s="6"/>
      <c r="R78" s="59"/>
      <c r="T78" s="182"/>
      <c r="U78" s="182"/>
      <c r="V78" s="1"/>
      <c r="W78" s="1"/>
      <c r="X78" s="1"/>
    </row>
    <row r="79" spans="2:24" ht="9.75" customHeight="1" x14ac:dyDescent="0.4">
      <c r="C79" s="17"/>
      <c r="D79" s="17" t="s">
        <v>303</v>
      </c>
      <c r="E79" s="17"/>
      <c r="F79" s="32"/>
      <c r="G79" s="6"/>
      <c r="H79" s="6"/>
      <c r="I79" s="6"/>
      <c r="J79" s="6"/>
      <c r="K79" s="6"/>
      <c r="L79" s="6"/>
      <c r="M79" s="6"/>
      <c r="N79" s="6"/>
      <c r="O79" s="31"/>
      <c r="P79" s="32"/>
      <c r="Q79" s="6"/>
      <c r="R79" s="59"/>
      <c r="T79" s="182"/>
      <c r="U79" s="182"/>
      <c r="V79" s="1"/>
      <c r="W79" s="1"/>
      <c r="X79" s="1"/>
    </row>
    <row r="80" spans="2:24" ht="9.75" customHeight="1" x14ac:dyDescent="0.4">
      <c r="C80" s="17"/>
      <c r="D80" s="17" t="s">
        <v>369</v>
      </c>
      <c r="E80" s="17"/>
      <c r="F80" s="32"/>
      <c r="G80" s="6"/>
      <c r="H80" s="6"/>
      <c r="I80" s="6"/>
      <c r="J80" s="6"/>
      <c r="K80" s="6"/>
      <c r="L80" s="6"/>
      <c r="M80" s="6"/>
      <c r="N80" s="6"/>
      <c r="O80" s="31"/>
      <c r="P80" s="32"/>
      <c r="Q80" s="6"/>
      <c r="R80" s="59"/>
      <c r="T80" s="182"/>
      <c r="U80" s="182"/>
      <c r="V80" s="1"/>
      <c r="W80" s="1"/>
      <c r="X80" s="1"/>
    </row>
    <row r="81" spans="3:24" ht="9.75" customHeight="1" x14ac:dyDescent="0.4">
      <c r="C81" s="17"/>
      <c r="D81" s="17" t="s">
        <v>369</v>
      </c>
      <c r="E81" s="17"/>
      <c r="F81" s="32"/>
      <c r="G81" s="6"/>
      <c r="H81" s="6"/>
      <c r="I81" s="6"/>
      <c r="J81" s="6"/>
      <c r="K81" s="6"/>
      <c r="L81" s="6"/>
      <c r="M81" s="6"/>
      <c r="N81" s="6"/>
      <c r="O81" s="31"/>
      <c r="P81" s="32"/>
      <c r="Q81" s="6"/>
      <c r="R81" s="59"/>
      <c r="T81" s="182"/>
      <c r="U81" s="182"/>
      <c r="V81" s="1"/>
      <c r="W81" s="1"/>
      <c r="X81" s="1"/>
    </row>
    <row r="82" spans="3:24" ht="9.75" customHeight="1" x14ac:dyDescent="0.4">
      <c r="C82" s="17"/>
      <c r="D82" s="17" t="s">
        <v>308</v>
      </c>
      <c r="E82" s="17"/>
      <c r="F82" s="32"/>
      <c r="G82" s="6"/>
      <c r="H82" s="6"/>
      <c r="I82" s="6"/>
      <c r="J82" s="6"/>
      <c r="K82" s="6"/>
      <c r="L82" s="6"/>
      <c r="M82" s="6"/>
      <c r="N82" s="6"/>
      <c r="O82" s="31"/>
      <c r="P82" s="32"/>
      <c r="Q82" s="6"/>
      <c r="R82" s="59"/>
      <c r="T82" s="182"/>
      <c r="U82" s="182"/>
      <c r="V82" s="1"/>
      <c r="W82" s="1"/>
      <c r="X82" s="1"/>
    </row>
    <row r="83" spans="3:24" ht="9.75" customHeight="1" x14ac:dyDescent="0.4">
      <c r="C83" s="17"/>
      <c r="D83" s="17" t="s">
        <v>492</v>
      </c>
      <c r="E83" s="17">
        <v>4</v>
      </c>
      <c r="F83" s="32">
        <v>4</v>
      </c>
      <c r="G83" s="6">
        <v>4</v>
      </c>
      <c r="H83" s="6">
        <v>4</v>
      </c>
      <c r="I83" s="6">
        <v>4</v>
      </c>
      <c r="J83" s="6">
        <v>2</v>
      </c>
      <c r="K83" s="58">
        <v>2</v>
      </c>
      <c r="L83" s="6">
        <v>3</v>
      </c>
      <c r="M83" s="6">
        <v>3</v>
      </c>
      <c r="N83" s="6">
        <v>2</v>
      </c>
      <c r="O83" s="31">
        <v>1</v>
      </c>
      <c r="P83" s="32">
        <f t="shared" ref="P83:P84" si="13">MIN(F83:O83)</f>
        <v>1</v>
      </c>
      <c r="Q83" s="6">
        <f t="shared" ref="Q83:Q84" si="14">E83-P83</f>
        <v>3</v>
      </c>
      <c r="R83" s="59">
        <f t="shared" ref="R83:R84" si="15">Q83/E83</f>
        <v>0.75</v>
      </c>
      <c r="T83" s="182"/>
      <c r="U83" s="182"/>
      <c r="V83" s="1"/>
      <c r="W83" s="1"/>
      <c r="X83" s="1"/>
    </row>
    <row r="84" spans="3:24" ht="9.75" customHeight="1" x14ac:dyDescent="0.4">
      <c r="C84" s="17"/>
      <c r="D84" s="17" t="s">
        <v>493</v>
      </c>
      <c r="E84" s="17">
        <v>59</v>
      </c>
      <c r="F84" s="32">
        <f>E84-26</f>
        <v>33</v>
      </c>
      <c r="G84" s="6">
        <f>E84-24</f>
        <v>35</v>
      </c>
      <c r="H84" s="6">
        <v>9</v>
      </c>
      <c r="I84" s="6">
        <v>8</v>
      </c>
      <c r="J84" s="6">
        <v>10</v>
      </c>
      <c r="K84" s="6">
        <v>12</v>
      </c>
      <c r="L84" s="6">
        <v>6</v>
      </c>
      <c r="M84" s="6">
        <v>10</v>
      </c>
      <c r="N84" s="6">
        <v>7</v>
      </c>
      <c r="O84" s="31">
        <v>14</v>
      </c>
      <c r="P84" s="32">
        <f t="shared" si="13"/>
        <v>6</v>
      </c>
      <c r="Q84" s="6">
        <f t="shared" si="14"/>
        <v>53</v>
      </c>
      <c r="R84" s="59">
        <f t="shared" si="15"/>
        <v>0.89830508474576276</v>
      </c>
      <c r="T84" s="182"/>
      <c r="U84" s="182"/>
      <c r="V84" s="1"/>
      <c r="W84" s="1"/>
      <c r="X84" s="1"/>
    </row>
    <row r="85" spans="3:24" ht="9.75" customHeight="1" x14ac:dyDescent="0.4">
      <c r="C85" s="17"/>
      <c r="D85" s="17" t="s">
        <v>374</v>
      </c>
      <c r="E85" s="17"/>
      <c r="F85" s="32"/>
      <c r="G85" s="6"/>
      <c r="H85" s="6"/>
      <c r="I85" s="6"/>
      <c r="J85" s="6"/>
      <c r="K85" s="6"/>
      <c r="L85" s="6"/>
      <c r="M85" s="6"/>
      <c r="N85" s="6"/>
      <c r="O85" s="31"/>
      <c r="P85" s="32"/>
      <c r="Q85" s="6"/>
      <c r="R85" s="59"/>
      <c r="T85" s="182"/>
      <c r="U85" s="182"/>
      <c r="V85" s="1"/>
      <c r="W85" s="1"/>
      <c r="X85" s="1"/>
    </row>
    <row r="86" spans="3:24" ht="9.75" customHeight="1" x14ac:dyDescent="0.4">
      <c r="C86" s="17"/>
      <c r="D86" s="17" t="s">
        <v>374</v>
      </c>
      <c r="E86" s="17"/>
      <c r="F86" s="32"/>
      <c r="G86" s="6"/>
      <c r="H86" s="6"/>
      <c r="I86" s="6"/>
      <c r="J86" s="6"/>
      <c r="K86" s="6"/>
      <c r="L86" s="6"/>
      <c r="M86" s="6"/>
      <c r="N86" s="6"/>
      <c r="O86" s="31"/>
      <c r="P86" s="32"/>
      <c r="Q86" s="6"/>
      <c r="R86" s="59"/>
      <c r="T86" s="182"/>
      <c r="U86" s="182"/>
      <c r="V86" s="1"/>
      <c r="W86" s="1"/>
      <c r="X86" s="1"/>
    </row>
    <row r="87" spans="3:24" ht="9.75" customHeight="1" x14ac:dyDescent="0.4">
      <c r="C87" s="17"/>
      <c r="D87" s="17" t="s">
        <v>374</v>
      </c>
      <c r="E87" s="17"/>
      <c r="F87" s="32"/>
      <c r="G87" s="6"/>
      <c r="H87" s="6"/>
      <c r="I87" s="6"/>
      <c r="J87" s="6"/>
      <c r="K87" s="6"/>
      <c r="L87" s="6"/>
      <c r="M87" s="6"/>
      <c r="N87" s="6"/>
      <c r="O87" s="31"/>
      <c r="P87" s="32"/>
      <c r="Q87" s="6"/>
      <c r="R87" s="59"/>
      <c r="T87" s="182"/>
      <c r="U87" s="182"/>
      <c r="V87" s="1"/>
      <c r="W87" s="1"/>
      <c r="X87" s="1"/>
    </row>
    <row r="88" spans="3:24" ht="9.75" customHeight="1" x14ac:dyDescent="0.4">
      <c r="C88" s="17"/>
      <c r="D88" s="17" t="s">
        <v>374</v>
      </c>
      <c r="E88" s="17"/>
      <c r="F88" s="32"/>
      <c r="G88" s="6"/>
      <c r="H88" s="6"/>
      <c r="I88" s="6"/>
      <c r="J88" s="6"/>
      <c r="K88" s="6"/>
      <c r="L88" s="6"/>
      <c r="M88" s="6"/>
      <c r="N88" s="6"/>
      <c r="O88" s="31"/>
      <c r="P88" s="32"/>
      <c r="Q88" s="6"/>
      <c r="R88" s="59"/>
      <c r="T88" s="182"/>
      <c r="U88" s="182"/>
      <c r="V88" s="1"/>
      <c r="W88" s="1"/>
      <c r="X88" s="1"/>
    </row>
    <row r="89" spans="3:24" ht="9.75" customHeight="1" x14ac:dyDescent="0.4">
      <c r="C89" s="17"/>
      <c r="D89" s="17" t="s">
        <v>310</v>
      </c>
      <c r="E89" s="17">
        <v>4</v>
      </c>
      <c r="F89" s="32">
        <v>3</v>
      </c>
      <c r="G89" s="6">
        <v>0</v>
      </c>
      <c r="H89" s="6">
        <v>1</v>
      </c>
      <c r="I89" s="6">
        <v>0</v>
      </c>
      <c r="J89" s="6">
        <v>1</v>
      </c>
      <c r="K89" s="6">
        <v>1</v>
      </c>
      <c r="L89" s="6">
        <v>1</v>
      </c>
      <c r="M89" s="6">
        <v>1</v>
      </c>
      <c r="N89" s="6">
        <v>2</v>
      </c>
      <c r="O89" s="31">
        <v>2</v>
      </c>
      <c r="P89" s="32">
        <f>MIN(F89:O89)</f>
        <v>0</v>
      </c>
      <c r="Q89" s="6">
        <f>E89-P89</f>
        <v>4</v>
      </c>
      <c r="R89" s="59">
        <f>Q89/E89</f>
        <v>1</v>
      </c>
      <c r="T89" s="182"/>
      <c r="U89" s="182"/>
      <c r="V89" s="1"/>
      <c r="W89" s="1"/>
      <c r="X89" s="1"/>
    </row>
    <row r="90" spans="3:24" ht="9.75" customHeight="1" x14ac:dyDescent="0.4">
      <c r="C90" s="17"/>
      <c r="D90" s="17" t="s">
        <v>311</v>
      </c>
      <c r="E90" s="17"/>
      <c r="F90" s="32"/>
      <c r="G90" s="6"/>
      <c r="H90" s="6"/>
      <c r="I90" s="6"/>
      <c r="J90" s="6"/>
      <c r="K90" s="6"/>
      <c r="L90" s="6"/>
      <c r="M90" s="6"/>
      <c r="N90" s="6"/>
      <c r="O90" s="31"/>
      <c r="P90" s="32"/>
      <c r="Q90" s="6"/>
      <c r="R90" s="59"/>
      <c r="T90" s="182"/>
      <c r="U90" s="182"/>
      <c r="V90" s="1"/>
      <c r="W90" s="1"/>
      <c r="X90" s="1"/>
    </row>
    <row r="91" spans="3:24" ht="9.75" customHeight="1" x14ac:dyDescent="0.4">
      <c r="C91" s="17"/>
      <c r="D91" s="17" t="s">
        <v>312</v>
      </c>
      <c r="E91" s="17"/>
      <c r="F91" s="32"/>
      <c r="G91" s="6"/>
      <c r="H91" s="6"/>
      <c r="I91" s="6"/>
      <c r="J91" s="6"/>
      <c r="K91" s="6"/>
      <c r="L91" s="6"/>
      <c r="M91" s="6"/>
      <c r="N91" s="6"/>
      <c r="O91" s="31"/>
      <c r="P91" s="32"/>
      <c r="Q91" s="6"/>
      <c r="R91" s="59"/>
      <c r="T91" s="182"/>
      <c r="U91" s="182"/>
      <c r="V91" s="1"/>
      <c r="W91" s="1"/>
      <c r="X91" s="1"/>
    </row>
    <row r="92" spans="3:24" ht="9.75" customHeight="1" x14ac:dyDescent="0.4">
      <c r="C92" s="17"/>
      <c r="D92" s="17" t="s">
        <v>313</v>
      </c>
      <c r="E92" s="17">
        <v>3</v>
      </c>
      <c r="F92" s="32">
        <v>3</v>
      </c>
      <c r="G92" s="6">
        <v>3</v>
      </c>
      <c r="H92" s="6">
        <v>1</v>
      </c>
      <c r="I92" s="6">
        <v>1</v>
      </c>
      <c r="J92" s="6">
        <v>2</v>
      </c>
      <c r="K92" s="6">
        <v>1</v>
      </c>
      <c r="L92" s="6">
        <v>3</v>
      </c>
      <c r="M92" s="6">
        <v>2</v>
      </c>
      <c r="N92" s="6">
        <v>2</v>
      </c>
      <c r="O92" s="31">
        <v>0</v>
      </c>
      <c r="P92" s="32">
        <f t="shared" ref="P92:P94" si="16">MIN(F92:O92)</f>
        <v>0</v>
      </c>
      <c r="Q92" s="6">
        <f t="shared" ref="Q92:Q94" si="17">E92-P92</f>
        <v>3</v>
      </c>
      <c r="R92" s="59">
        <f t="shared" ref="R92:R94" si="18">Q92/E92</f>
        <v>1</v>
      </c>
      <c r="T92" s="182"/>
      <c r="U92" s="182"/>
      <c r="V92" s="1"/>
      <c r="W92" s="1"/>
      <c r="X92" s="1"/>
    </row>
    <row r="93" spans="3:24" ht="9.75" customHeight="1" x14ac:dyDescent="0.4">
      <c r="C93" s="34"/>
      <c r="D93" s="104" t="s">
        <v>314</v>
      </c>
      <c r="E93" s="104">
        <f t="shared" ref="E93:O93" si="19">SUM(E77:E92)</f>
        <v>70</v>
      </c>
      <c r="F93" s="104">
        <f t="shared" si="19"/>
        <v>43</v>
      </c>
      <c r="G93" s="128">
        <f t="shared" si="19"/>
        <v>42</v>
      </c>
      <c r="H93" s="128">
        <f t="shared" si="19"/>
        <v>15</v>
      </c>
      <c r="I93" s="128">
        <f t="shared" si="19"/>
        <v>13</v>
      </c>
      <c r="J93" s="128">
        <f t="shared" si="19"/>
        <v>15</v>
      </c>
      <c r="K93" s="128">
        <f t="shared" si="19"/>
        <v>16</v>
      </c>
      <c r="L93" s="128">
        <f t="shared" si="19"/>
        <v>13</v>
      </c>
      <c r="M93" s="128">
        <f t="shared" si="19"/>
        <v>16</v>
      </c>
      <c r="N93" s="128">
        <f t="shared" si="19"/>
        <v>13</v>
      </c>
      <c r="O93" s="129">
        <f t="shared" si="19"/>
        <v>17</v>
      </c>
      <c r="P93" s="128">
        <f t="shared" si="16"/>
        <v>13</v>
      </c>
      <c r="Q93" s="128">
        <f t="shared" si="17"/>
        <v>57</v>
      </c>
      <c r="R93" s="72">
        <f t="shared" si="18"/>
        <v>0.81428571428571428</v>
      </c>
      <c r="T93" s="182"/>
      <c r="U93" s="182"/>
      <c r="V93" s="1"/>
      <c r="W93" s="1"/>
      <c r="X93" s="1"/>
    </row>
    <row r="94" spans="3:24" ht="9.75" customHeight="1" x14ac:dyDescent="0.4">
      <c r="C94" s="15" t="s">
        <v>64</v>
      </c>
      <c r="D94" s="15" t="s">
        <v>300</v>
      </c>
      <c r="E94" s="17">
        <v>177</v>
      </c>
      <c r="F94" s="32">
        <v>82</v>
      </c>
      <c r="G94" s="6">
        <v>61</v>
      </c>
      <c r="H94" s="6">
        <v>39</v>
      </c>
      <c r="I94" s="6">
        <v>30</v>
      </c>
      <c r="J94" s="6">
        <v>34</v>
      </c>
      <c r="K94" s="6">
        <v>33</v>
      </c>
      <c r="L94" s="6">
        <v>32</v>
      </c>
      <c r="M94" s="6">
        <v>41</v>
      </c>
      <c r="N94" s="6">
        <v>61</v>
      </c>
      <c r="O94" s="31">
        <v>71</v>
      </c>
      <c r="P94" s="32">
        <f t="shared" si="16"/>
        <v>30</v>
      </c>
      <c r="Q94" s="6">
        <f t="shared" si="17"/>
        <v>147</v>
      </c>
      <c r="R94" s="59">
        <f t="shared" si="18"/>
        <v>0.83050847457627119</v>
      </c>
      <c r="T94" s="182"/>
      <c r="U94" s="182"/>
      <c r="V94" s="1"/>
      <c r="W94" s="1"/>
      <c r="X94" s="1"/>
    </row>
    <row r="95" spans="3:24" ht="9.75" customHeight="1" x14ac:dyDescent="0.4">
      <c r="C95" s="17"/>
      <c r="D95" s="17" t="s">
        <v>301</v>
      </c>
      <c r="E95" s="17"/>
      <c r="F95" s="32"/>
      <c r="G95" s="6"/>
      <c r="H95" s="6"/>
      <c r="I95" s="6"/>
      <c r="J95" s="6"/>
      <c r="K95" s="6"/>
      <c r="L95" s="6"/>
      <c r="M95" s="6"/>
      <c r="N95" s="6"/>
      <c r="O95" s="31"/>
      <c r="P95" s="32"/>
      <c r="Q95" s="6"/>
      <c r="R95" s="59"/>
      <c r="T95" s="182"/>
      <c r="U95" s="182"/>
      <c r="V95" s="1"/>
      <c r="W95" s="1"/>
      <c r="X95" s="1"/>
    </row>
    <row r="96" spans="3:24" ht="9.75" customHeight="1" x14ac:dyDescent="0.4">
      <c r="C96" s="17"/>
      <c r="D96" s="17" t="s">
        <v>303</v>
      </c>
      <c r="E96" s="17"/>
      <c r="F96" s="32"/>
      <c r="G96" s="6"/>
      <c r="H96" s="6"/>
      <c r="I96" s="6"/>
      <c r="J96" s="6"/>
      <c r="K96" s="6"/>
      <c r="L96" s="6"/>
      <c r="M96" s="6"/>
      <c r="N96" s="6"/>
      <c r="O96" s="31"/>
      <c r="P96" s="32"/>
      <c r="Q96" s="6"/>
      <c r="R96" s="59"/>
      <c r="T96" s="182"/>
      <c r="U96" s="182"/>
      <c r="V96" s="1"/>
      <c r="W96" s="1"/>
      <c r="X96" s="1"/>
    </row>
    <row r="97" spans="2:24" ht="9.75" customHeight="1" x14ac:dyDescent="0.4">
      <c r="C97" s="17"/>
      <c r="D97" s="17" t="s">
        <v>369</v>
      </c>
      <c r="E97" s="17"/>
      <c r="F97" s="32"/>
      <c r="G97" s="6"/>
      <c r="H97" s="6"/>
      <c r="I97" s="6"/>
      <c r="J97" s="6"/>
      <c r="K97" s="6"/>
      <c r="L97" s="6"/>
      <c r="M97" s="6"/>
      <c r="N97" s="6"/>
      <c r="O97" s="31"/>
      <c r="P97" s="32"/>
      <c r="Q97" s="6"/>
      <c r="R97" s="59"/>
      <c r="T97" s="182"/>
      <c r="U97" s="182"/>
      <c r="V97" s="1"/>
      <c r="W97" s="1"/>
      <c r="X97" s="1"/>
    </row>
    <row r="98" spans="2:24" ht="9.75" customHeight="1" x14ac:dyDescent="0.4">
      <c r="C98" s="17"/>
      <c r="D98" s="17" t="s">
        <v>369</v>
      </c>
      <c r="E98" s="17"/>
      <c r="F98" s="32"/>
      <c r="G98" s="6"/>
      <c r="H98" s="6"/>
      <c r="I98" s="6"/>
      <c r="J98" s="6"/>
      <c r="K98" s="6"/>
      <c r="L98" s="6"/>
      <c r="M98" s="6"/>
      <c r="N98" s="6"/>
      <c r="O98" s="31"/>
      <c r="P98" s="32"/>
      <c r="Q98" s="6"/>
      <c r="R98" s="59"/>
      <c r="T98" s="182"/>
      <c r="U98" s="182"/>
      <c r="V98" s="1"/>
      <c r="W98" s="1"/>
      <c r="X98" s="1"/>
    </row>
    <row r="99" spans="2:24" ht="9.75" customHeight="1" x14ac:dyDescent="0.4">
      <c r="C99" s="17"/>
      <c r="D99" s="17" t="s">
        <v>308</v>
      </c>
      <c r="E99" s="17"/>
      <c r="F99" s="32"/>
      <c r="G99" s="6"/>
      <c r="H99" s="6"/>
      <c r="I99" s="6"/>
      <c r="J99" s="6"/>
      <c r="K99" s="6"/>
      <c r="L99" s="6"/>
      <c r="M99" s="6"/>
      <c r="N99" s="6"/>
      <c r="O99" s="31"/>
      <c r="P99" s="32"/>
      <c r="Q99" s="6"/>
      <c r="R99" s="59"/>
      <c r="T99" s="182"/>
      <c r="U99" s="182"/>
      <c r="V99" s="1"/>
      <c r="W99" s="1"/>
      <c r="X99" s="1"/>
    </row>
    <row r="100" spans="2:24" ht="9.75" customHeight="1" x14ac:dyDescent="0.4">
      <c r="C100" s="17"/>
      <c r="D100" s="17" t="s">
        <v>374</v>
      </c>
      <c r="E100" s="17"/>
      <c r="F100" s="32"/>
      <c r="G100" s="6"/>
      <c r="H100" s="6"/>
      <c r="I100" s="6"/>
      <c r="J100" s="6"/>
      <c r="K100" s="6"/>
      <c r="L100" s="6"/>
      <c r="M100" s="6"/>
      <c r="N100" s="6"/>
      <c r="O100" s="31"/>
      <c r="P100" s="32"/>
      <c r="Q100" s="6"/>
      <c r="R100" s="59"/>
      <c r="T100" s="182"/>
      <c r="U100" s="182"/>
      <c r="V100" s="1"/>
      <c r="W100" s="1"/>
      <c r="X100" s="1"/>
    </row>
    <row r="101" spans="2:24" ht="9.75" customHeight="1" x14ac:dyDescent="0.4">
      <c r="C101" s="17"/>
      <c r="D101" s="17" t="s">
        <v>374</v>
      </c>
      <c r="E101" s="17"/>
      <c r="F101" s="32"/>
      <c r="G101" s="6"/>
      <c r="H101" s="6"/>
      <c r="I101" s="6"/>
      <c r="J101" s="6"/>
      <c r="K101" s="6"/>
      <c r="L101" s="6"/>
      <c r="M101" s="6"/>
      <c r="N101" s="6"/>
      <c r="O101" s="31"/>
      <c r="P101" s="32"/>
      <c r="Q101" s="6"/>
      <c r="R101" s="59"/>
      <c r="T101" s="182"/>
      <c r="U101" s="182"/>
      <c r="V101" s="1"/>
      <c r="W101" s="1"/>
      <c r="X101" s="1"/>
    </row>
    <row r="102" spans="2:24" ht="9.75" customHeight="1" x14ac:dyDescent="0.4">
      <c r="C102" s="17"/>
      <c r="D102" s="17" t="s">
        <v>374</v>
      </c>
      <c r="E102" s="17"/>
      <c r="F102" s="32"/>
      <c r="G102" s="6"/>
      <c r="H102" s="6"/>
      <c r="I102" s="6"/>
      <c r="J102" s="6"/>
      <c r="K102" s="6"/>
      <c r="L102" s="6"/>
      <c r="M102" s="6"/>
      <c r="N102" s="6"/>
      <c r="O102" s="31"/>
      <c r="P102" s="32"/>
      <c r="Q102" s="6"/>
      <c r="R102" s="59"/>
      <c r="T102" s="182"/>
      <c r="U102" s="182"/>
      <c r="V102" s="1"/>
      <c r="W102" s="1"/>
      <c r="X102" s="1"/>
    </row>
    <row r="103" spans="2:24" ht="9.75" customHeight="1" x14ac:dyDescent="0.4">
      <c r="C103" s="17"/>
      <c r="D103" s="17" t="s">
        <v>374</v>
      </c>
      <c r="E103" s="17"/>
      <c r="F103" s="32"/>
      <c r="G103" s="6"/>
      <c r="H103" s="6"/>
      <c r="I103" s="6"/>
      <c r="J103" s="6"/>
      <c r="K103" s="6"/>
      <c r="L103" s="6"/>
      <c r="M103" s="6"/>
      <c r="N103" s="6"/>
      <c r="O103" s="31"/>
      <c r="P103" s="32"/>
      <c r="Q103" s="6"/>
      <c r="R103" s="59"/>
      <c r="T103" s="182"/>
      <c r="U103" s="182"/>
      <c r="V103" s="1"/>
      <c r="W103" s="1"/>
      <c r="X103" s="1"/>
    </row>
    <row r="104" spans="2:24" ht="9.75" customHeight="1" x14ac:dyDescent="0.4">
      <c r="C104" s="17"/>
      <c r="D104" s="17" t="s">
        <v>374</v>
      </c>
      <c r="E104" s="17"/>
      <c r="F104" s="32"/>
      <c r="G104" s="6"/>
      <c r="H104" s="6"/>
      <c r="I104" s="6"/>
      <c r="J104" s="6"/>
      <c r="K104" s="6"/>
      <c r="L104" s="6"/>
      <c r="M104" s="6"/>
      <c r="N104" s="6"/>
      <c r="O104" s="31"/>
      <c r="P104" s="32"/>
      <c r="Q104" s="6"/>
      <c r="R104" s="59"/>
      <c r="T104" s="182"/>
      <c r="U104" s="182"/>
      <c r="V104" s="1"/>
      <c r="W104" s="1"/>
      <c r="X104" s="1"/>
    </row>
    <row r="105" spans="2:24" ht="9.75" customHeight="1" x14ac:dyDescent="0.4">
      <c r="C105" s="17"/>
      <c r="D105" s="17" t="s">
        <v>374</v>
      </c>
      <c r="E105" s="17"/>
      <c r="F105" s="32"/>
      <c r="G105" s="6"/>
      <c r="H105" s="6"/>
      <c r="I105" s="6"/>
      <c r="J105" s="6"/>
      <c r="K105" s="6"/>
      <c r="L105" s="6"/>
      <c r="M105" s="6"/>
      <c r="N105" s="6"/>
      <c r="O105" s="31"/>
      <c r="P105" s="32"/>
      <c r="Q105" s="6"/>
      <c r="R105" s="59"/>
      <c r="T105" s="182"/>
      <c r="U105" s="182"/>
      <c r="V105" s="1"/>
      <c r="W105" s="1"/>
      <c r="X105" s="1"/>
    </row>
    <row r="106" spans="2:24" ht="9.75" customHeight="1" x14ac:dyDescent="0.4">
      <c r="C106" s="17"/>
      <c r="D106" s="17" t="s">
        <v>310</v>
      </c>
      <c r="E106" s="17"/>
      <c r="F106" s="32"/>
      <c r="G106" s="6"/>
      <c r="H106" s="6"/>
      <c r="I106" s="6"/>
      <c r="J106" s="6"/>
      <c r="K106" s="6"/>
      <c r="L106" s="6"/>
      <c r="M106" s="6"/>
      <c r="N106" s="6"/>
      <c r="O106" s="31"/>
      <c r="P106" s="32"/>
      <c r="Q106" s="6"/>
      <c r="R106" s="59"/>
      <c r="T106" s="182"/>
      <c r="U106" s="182"/>
      <c r="V106" s="1"/>
      <c r="W106" s="1"/>
      <c r="X106" s="1"/>
    </row>
    <row r="107" spans="2:24" ht="9.75" customHeight="1" x14ac:dyDescent="0.4">
      <c r="C107" s="17"/>
      <c r="D107" s="17" t="s">
        <v>311</v>
      </c>
      <c r="E107" s="17"/>
      <c r="F107" s="32"/>
      <c r="G107" s="6"/>
      <c r="H107" s="6"/>
      <c r="I107" s="6"/>
      <c r="J107" s="6"/>
      <c r="K107" s="6"/>
      <c r="L107" s="6"/>
      <c r="M107" s="6"/>
      <c r="N107" s="6"/>
      <c r="O107" s="31"/>
      <c r="P107" s="32"/>
      <c r="Q107" s="6"/>
      <c r="R107" s="59"/>
      <c r="T107" s="182"/>
      <c r="U107" s="182"/>
      <c r="V107" s="1"/>
      <c r="W107" s="1"/>
      <c r="X107" s="1"/>
    </row>
    <row r="108" spans="2:24" ht="9.75" customHeight="1" x14ac:dyDescent="0.4">
      <c r="C108" s="17"/>
      <c r="D108" s="17" t="s">
        <v>312</v>
      </c>
      <c r="E108" s="17"/>
      <c r="F108" s="32"/>
      <c r="G108" s="6"/>
      <c r="H108" s="6"/>
      <c r="I108" s="6"/>
      <c r="J108" s="6"/>
      <c r="K108" s="6"/>
      <c r="L108" s="6"/>
      <c r="M108" s="6"/>
      <c r="N108" s="6"/>
      <c r="O108" s="31"/>
      <c r="P108" s="32"/>
      <c r="Q108" s="6"/>
      <c r="R108" s="59"/>
      <c r="T108" s="182"/>
      <c r="U108" s="182"/>
      <c r="V108" s="1"/>
      <c r="W108" s="1"/>
      <c r="X108" s="1"/>
    </row>
    <row r="109" spans="2:24" ht="9.75" customHeight="1" x14ac:dyDescent="0.4">
      <c r="C109" s="17"/>
      <c r="D109" s="17" t="s">
        <v>313</v>
      </c>
      <c r="E109" s="17"/>
      <c r="F109" s="32"/>
      <c r="G109" s="6"/>
      <c r="H109" s="6"/>
      <c r="I109" s="6"/>
      <c r="J109" s="6"/>
      <c r="K109" s="6"/>
      <c r="L109" s="6"/>
      <c r="M109" s="6"/>
      <c r="N109" s="6"/>
      <c r="O109" s="31"/>
      <c r="P109" s="32"/>
      <c r="Q109" s="6"/>
      <c r="R109" s="59"/>
      <c r="T109" s="182"/>
      <c r="U109" s="182"/>
      <c r="V109" s="1"/>
      <c r="W109" s="1"/>
      <c r="X109" s="1"/>
    </row>
    <row r="110" spans="2:24" ht="9.75" customHeight="1" x14ac:dyDescent="0.4">
      <c r="B110" s="219" t="s">
        <v>395</v>
      </c>
      <c r="C110" s="34"/>
      <c r="D110" s="104" t="s">
        <v>314</v>
      </c>
      <c r="E110" s="104">
        <f t="shared" ref="E110:O110" si="20">SUM(E94:E109)</f>
        <v>177</v>
      </c>
      <c r="F110" s="104">
        <f t="shared" si="20"/>
        <v>82</v>
      </c>
      <c r="G110" s="128">
        <f t="shared" si="20"/>
        <v>61</v>
      </c>
      <c r="H110" s="128">
        <f t="shared" si="20"/>
        <v>39</v>
      </c>
      <c r="I110" s="128">
        <f t="shared" si="20"/>
        <v>30</v>
      </c>
      <c r="J110" s="128">
        <f t="shared" si="20"/>
        <v>34</v>
      </c>
      <c r="K110" s="128">
        <f t="shared" si="20"/>
        <v>33</v>
      </c>
      <c r="L110" s="128">
        <f t="shared" si="20"/>
        <v>32</v>
      </c>
      <c r="M110" s="128">
        <f t="shared" si="20"/>
        <v>41</v>
      </c>
      <c r="N110" s="128">
        <f t="shared" si="20"/>
        <v>61</v>
      </c>
      <c r="O110" s="129">
        <f t="shared" si="20"/>
        <v>71</v>
      </c>
      <c r="P110" s="128">
        <f t="shared" ref="P110:P111" si="21">MIN(F110:O110)</f>
        <v>30</v>
      </c>
      <c r="Q110" s="128">
        <f t="shared" ref="Q110:Q111" si="22">E110-P110</f>
        <v>147</v>
      </c>
      <c r="R110" s="72">
        <f t="shared" ref="R110:R111" si="23">Q110/E110</f>
        <v>0.83050847457627119</v>
      </c>
      <c r="T110" s="182"/>
      <c r="U110" s="182"/>
      <c r="V110" s="1"/>
      <c r="W110" s="1"/>
      <c r="X110" s="1"/>
    </row>
    <row r="111" spans="2:24" ht="9.75" customHeight="1" x14ac:dyDescent="0.4">
      <c r="C111" s="15" t="s">
        <v>85</v>
      </c>
      <c r="D111" s="15" t="s">
        <v>300</v>
      </c>
      <c r="E111" s="17">
        <f>75+120</f>
        <v>195</v>
      </c>
      <c r="F111" s="32">
        <v>30</v>
      </c>
      <c r="G111" s="6">
        <v>14</v>
      </c>
      <c r="H111" s="6">
        <v>8</v>
      </c>
      <c r="I111" s="6">
        <v>6</v>
      </c>
      <c r="J111" s="6">
        <v>3</v>
      </c>
      <c r="K111" s="6">
        <v>7</v>
      </c>
      <c r="L111" s="6">
        <v>6</v>
      </c>
      <c r="M111" s="6">
        <v>20</v>
      </c>
      <c r="N111" s="6">
        <v>37</v>
      </c>
      <c r="O111" s="31">
        <v>53</v>
      </c>
      <c r="P111" s="32">
        <f t="shared" si="21"/>
        <v>3</v>
      </c>
      <c r="Q111" s="6">
        <f t="shared" si="22"/>
        <v>192</v>
      </c>
      <c r="R111" s="59">
        <f t="shared" si="23"/>
        <v>0.98461538461538467</v>
      </c>
      <c r="T111" s="182"/>
      <c r="U111" s="182"/>
      <c r="V111" s="1"/>
      <c r="W111" s="1"/>
      <c r="X111" s="1"/>
    </row>
    <row r="112" spans="2:24" ht="9.75" customHeight="1" x14ac:dyDescent="0.4">
      <c r="C112" s="17"/>
      <c r="D112" s="17" t="s">
        <v>301</v>
      </c>
      <c r="E112" s="17"/>
      <c r="F112" s="32"/>
      <c r="G112" s="6"/>
      <c r="H112" s="6"/>
      <c r="I112" s="6"/>
      <c r="J112" s="6"/>
      <c r="K112" s="6"/>
      <c r="L112" s="6"/>
      <c r="M112" s="6"/>
      <c r="N112" s="6"/>
      <c r="O112" s="31"/>
      <c r="P112" s="32"/>
      <c r="Q112" s="6"/>
      <c r="R112" s="59"/>
      <c r="T112" s="182"/>
      <c r="U112" s="182"/>
      <c r="V112" s="1"/>
      <c r="W112" s="1"/>
      <c r="X112" s="1"/>
    </row>
    <row r="113" spans="2:24" ht="9.75" customHeight="1" x14ac:dyDescent="0.4">
      <c r="C113" s="17"/>
      <c r="D113" s="17" t="s">
        <v>303</v>
      </c>
      <c r="E113" s="17"/>
      <c r="F113" s="32"/>
      <c r="G113" s="6"/>
      <c r="H113" s="6"/>
      <c r="I113" s="6"/>
      <c r="J113" s="6"/>
      <c r="K113" s="6"/>
      <c r="L113" s="6"/>
      <c r="M113" s="6"/>
      <c r="N113" s="6"/>
      <c r="O113" s="31"/>
      <c r="P113" s="32"/>
      <c r="Q113" s="6"/>
      <c r="R113" s="59"/>
      <c r="T113" s="182"/>
      <c r="U113" s="182"/>
      <c r="V113" s="1"/>
      <c r="W113" s="1"/>
      <c r="X113" s="1"/>
    </row>
    <row r="114" spans="2:24" ht="9.75" customHeight="1" x14ac:dyDescent="0.4">
      <c r="C114" s="17"/>
      <c r="D114" s="17" t="s">
        <v>369</v>
      </c>
      <c r="E114" s="17"/>
      <c r="F114" s="32"/>
      <c r="G114" s="6"/>
      <c r="H114" s="6"/>
      <c r="I114" s="6"/>
      <c r="J114" s="6"/>
      <c r="K114" s="6"/>
      <c r="L114" s="6"/>
      <c r="M114" s="6"/>
      <c r="N114" s="6"/>
      <c r="O114" s="31"/>
      <c r="P114" s="32"/>
      <c r="Q114" s="6"/>
      <c r="R114" s="59"/>
      <c r="T114" s="182"/>
      <c r="U114" s="182"/>
      <c r="V114" s="1"/>
      <c r="W114" s="1"/>
      <c r="X114" s="1"/>
    </row>
    <row r="115" spans="2:24" ht="9.75" customHeight="1" x14ac:dyDescent="0.4">
      <c r="C115" s="17"/>
      <c r="D115" s="17" t="s">
        <v>369</v>
      </c>
      <c r="E115" s="17"/>
      <c r="F115" s="32"/>
      <c r="G115" s="6"/>
      <c r="H115" s="6"/>
      <c r="I115" s="6"/>
      <c r="J115" s="6"/>
      <c r="K115" s="6"/>
      <c r="L115" s="6"/>
      <c r="M115" s="6"/>
      <c r="N115" s="6"/>
      <c r="O115" s="31"/>
      <c r="P115" s="32"/>
      <c r="Q115" s="6"/>
      <c r="R115" s="59"/>
      <c r="T115" s="182"/>
      <c r="U115" s="182"/>
      <c r="V115" s="1"/>
      <c r="W115" s="1"/>
      <c r="X115" s="1"/>
    </row>
    <row r="116" spans="2:24" ht="9.75" customHeight="1" x14ac:dyDescent="0.4">
      <c r="C116" s="17"/>
      <c r="D116" s="17" t="s">
        <v>308</v>
      </c>
      <c r="E116" s="17">
        <v>37</v>
      </c>
      <c r="F116" s="32">
        <f>E116-16</f>
        <v>21</v>
      </c>
      <c r="G116" s="6">
        <f>E116-18</f>
        <v>19</v>
      </c>
      <c r="H116" s="6">
        <f>E116-18</f>
        <v>19</v>
      </c>
      <c r="I116" s="6">
        <f>E116-17</f>
        <v>20</v>
      </c>
      <c r="J116" s="6">
        <f>E116-18</f>
        <v>19</v>
      </c>
      <c r="K116" s="6">
        <f>E116-15</f>
        <v>22</v>
      </c>
      <c r="L116" s="6">
        <f>E116-17</f>
        <v>20</v>
      </c>
      <c r="M116" s="6">
        <f>E116-18</f>
        <v>19</v>
      </c>
      <c r="N116" s="6">
        <f>E116-15</f>
        <v>22</v>
      </c>
      <c r="O116" s="31">
        <f>E116-11</f>
        <v>26</v>
      </c>
      <c r="P116" s="32">
        <f t="shared" ref="P116:P117" si="24">MIN(F116:O116)</f>
        <v>19</v>
      </c>
      <c r="Q116" s="6">
        <f t="shared" ref="Q116:Q117" si="25">E116-P116</f>
        <v>18</v>
      </c>
      <c r="R116" s="59">
        <f t="shared" ref="R116:R117" si="26">Q116/E116</f>
        <v>0.48648648648648651</v>
      </c>
      <c r="T116" s="182"/>
      <c r="U116" s="182"/>
      <c r="V116" s="1"/>
      <c r="W116" s="1"/>
      <c r="X116" s="1"/>
    </row>
    <row r="117" spans="2:24" ht="9.75" customHeight="1" x14ac:dyDescent="0.4">
      <c r="C117" s="17"/>
      <c r="D117" s="17" t="s">
        <v>372</v>
      </c>
      <c r="E117" s="17">
        <v>3</v>
      </c>
      <c r="F117" s="32">
        <v>0</v>
      </c>
      <c r="G117" s="6">
        <v>2</v>
      </c>
      <c r="H117" s="6">
        <v>0</v>
      </c>
      <c r="I117" s="6">
        <v>0</v>
      </c>
      <c r="J117" s="6">
        <v>1</v>
      </c>
      <c r="K117" s="6">
        <v>0</v>
      </c>
      <c r="L117" s="6">
        <v>1</v>
      </c>
      <c r="M117" s="6">
        <v>1</v>
      </c>
      <c r="N117" s="6">
        <v>1</v>
      </c>
      <c r="O117" s="31">
        <v>0</v>
      </c>
      <c r="P117" s="32">
        <f t="shared" si="24"/>
        <v>0</v>
      </c>
      <c r="Q117" s="6">
        <f t="shared" si="25"/>
        <v>3</v>
      </c>
      <c r="R117" s="59">
        <f t="shared" si="26"/>
        <v>1</v>
      </c>
      <c r="T117" s="182"/>
      <c r="U117" s="182"/>
      <c r="V117" s="1"/>
      <c r="W117" s="1"/>
      <c r="X117" s="1"/>
    </row>
    <row r="118" spans="2:24" ht="9.75" customHeight="1" x14ac:dyDescent="0.4">
      <c r="C118" s="17"/>
      <c r="D118" s="17" t="s">
        <v>374</v>
      </c>
      <c r="E118" s="17"/>
      <c r="F118" s="32"/>
      <c r="G118" s="6"/>
      <c r="H118" s="6"/>
      <c r="I118" s="6"/>
      <c r="J118" s="6"/>
      <c r="K118" s="6"/>
      <c r="L118" s="6"/>
      <c r="M118" s="6"/>
      <c r="N118" s="6"/>
      <c r="O118" s="31"/>
      <c r="P118" s="32"/>
      <c r="Q118" s="6"/>
      <c r="R118" s="59"/>
      <c r="T118" s="182"/>
      <c r="U118" s="182"/>
      <c r="V118" s="1"/>
      <c r="W118" s="1"/>
      <c r="X118" s="1"/>
    </row>
    <row r="119" spans="2:24" ht="9.75" customHeight="1" x14ac:dyDescent="0.4">
      <c r="C119" s="17"/>
      <c r="D119" s="17" t="s">
        <v>374</v>
      </c>
      <c r="E119" s="17"/>
      <c r="F119" s="32"/>
      <c r="G119" s="6"/>
      <c r="H119" s="6"/>
      <c r="I119" s="6"/>
      <c r="J119" s="6"/>
      <c r="K119" s="6"/>
      <c r="L119" s="6"/>
      <c r="M119" s="6"/>
      <c r="N119" s="6"/>
      <c r="O119" s="31"/>
      <c r="P119" s="32"/>
      <c r="Q119" s="6"/>
      <c r="R119" s="59"/>
      <c r="T119" s="182"/>
      <c r="U119" s="182"/>
      <c r="V119" s="1"/>
      <c r="W119" s="1"/>
      <c r="X119" s="1"/>
    </row>
    <row r="120" spans="2:24" ht="9.75" customHeight="1" x14ac:dyDescent="0.4">
      <c r="C120" s="17"/>
      <c r="D120" s="17" t="s">
        <v>374</v>
      </c>
      <c r="E120" s="17"/>
      <c r="F120" s="32"/>
      <c r="G120" s="6"/>
      <c r="H120" s="6"/>
      <c r="I120" s="6"/>
      <c r="J120" s="6"/>
      <c r="K120" s="6"/>
      <c r="L120" s="6"/>
      <c r="M120" s="6"/>
      <c r="N120" s="6"/>
      <c r="O120" s="31"/>
      <c r="P120" s="32"/>
      <c r="Q120" s="6"/>
      <c r="R120" s="59"/>
      <c r="T120" s="182"/>
      <c r="U120" s="182"/>
      <c r="V120" s="1"/>
      <c r="W120" s="1"/>
      <c r="X120" s="1"/>
    </row>
    <row r="121" spans="2:24" ht="9.75" customHeight="1" x14ac:dyDescent="0.4">
      <c r="C121" s="17"/>
      <c r="D121" s="17" t="s">
        <v>374</v>
      </c>
      <c r="E121" s="17"/>
      <c r="F121" s="32"/>
      <c r="G121" s="6"/>
      <c r="H121" s="6"/>
      <c r="I121" s="6"/>
      <c r="J121" s="6"/>
      <c r="K121" s="6"/>
      <c r="L121" s="6"/>
      <c r="M121" s="6"/>
      <c r="N121" s="6"/>
      <c r="O121" s="31"/>
      <c r="P121" s="32"/>
      <c r="Q121" s="6"/>
      <c r="R121" s="59"/>
      <c r="T121" s="182"/>
      <c r="U121" s="182"/>
      <c r="V121" s="1"/>
      <c r="W121" s="1"/>
      <c r="X121" s="1"/>
    </row>
    <row r="122" spans="2:24" ht="9.75" customHeight="1" x14ac:dyDescent="0.4">
      <c r="C122" s="17"/>
      <c r="D122" s="17" t="s">
        <v>374</v>
      </c>
      <c r="E122" s="17"/>
      <c r="F122" s="32"/>
      <c r="G122" s="6"/>
      <c r="H122" s="6"/>
      <c r="I122" s="6"/>
      <c r="J122" s="6"/>
      <c r="K122" s="6"/>
      <c r="L122" s="6"/>
      <c r="M122" s="6"/>
      <c r="N122" s="6"/>
      <c r="O122" s="31"/>
      <c r="P122" s="32"/>
      <c r="Q122" s="6"/>
      <c r="R122" s="59"/>
      <c r="T122" s="182"/>
      <c r="U122" s="182"/>
      <c r="V122" s="1"/>
      <c r="W122" s="1"/>
      <c r="X122" s="1"/>
    </row>
    <row r="123" spans="2:24" ht="9.75" customHeight="1" x14ac:dyDescent="0.4">
      <c r="C123" s="17"/>
      <c r="D123" s="17" t="s">
        <v>310</v>
      </c>
      <c r="E123" s="17">
        <v>12</v>
      </c>
      <c r="F123" s="32">
        <f>E123-2</f>
        <v>10</v>
      </c>
      <c r="G123" s="6">
        <f>E123-3</f>
        <v>9</v>
      </c>
      <c r="H123" s="6">
        <f>E123-5</f>
        <v>7</v>
      </c>
      <c r="I123" s="6">
        <f>E123-5</f>
        <v>7</v>
      </c>
      <c r="J123" s="6">
        <f>E123-5</f>
        <v>7</v>
      </c>
      <c r="K123" s="6">
        <f>E123-3</f>
        <v>9</v>
      </c>
      <c r="L123" s="6">
        <f>E123-4</f>
        <v>8</v>
      </c>
      <c r="M123" s="6">
        <f>E123-4</f>
        <v>8</v>
      </c>
      <c r="N123" s="6">
        <f>E123-3</f>
        <v>9</v>
      </c>
      <c r="O123" s="31">
        <f>E123-3</f>
        <v>9</v>
      </c>
      <c r="P123" s="32">
        <f>MIN(F123:O123)</f>
        <v>7</v>
      </c>
      <c r="Q123" s="6">
        <f>E123-P123</f>
        <v>5</v>
      </c>
      <c r="R123" s="59">
        <f>Q123/E123</f>
        <v>0.41666666666666669</v>
      </c>
      <c r="T123" s="182"/>
      <c r="U123" s="182"/>
      <c r="V123" s="1"/>
      <c r="W123" s="1"/>
      <c r="X123" s="1"/>
    </row>
    <row r="124" spans="2:24" ht="9.75" customHeight="1" x14ac:dyDescent="0.4">
      <c r="C124" s="17"/>
      <c r="D124" s="17" t="s">
        <v>311</v>
      </c>
      <c r="E124" s="17"/>
      <c r="F124" s="32"/>
      <c r="G124" s="6"/>
      <c r="H124" s="6"/>
      <c r="I124" s="6"/>
      <c r="J124" s="6"/>
      <c r="K124" s="6"/>
      <c r="L124" s="6"/>
      <c r="M124" s="6"/>
      <c r="N124" s="6"/>
      <c r="O124" s="31"/>
      <c r="P124" s="32"/>
      <c r="Q124" s="6"/>
      <c r="R124" s="59"/>
      <c r="T124" s="182"/>
      <c r="U124" s="182"/>
      <c r="V124" s="1"/>
      <c r="W124" s="1"/>
      <c r="X124" s="1"/>
    </row>
    <row r="125" spans="2:24" ht="9.75" customHeight="1" x14ac:dyDescent="0.4">
      <c r="C125" s="17"/>
      <c r="D125" s="17" t="s">
        <v>312</v>
      </c>
      <c r="E125" s="17"/>
      <c r="F125" s="32"/>
      <c r="G125" s="6"/>
      <c r="H125" s="6"/>
      <c r="I125" s="6"/>
      <c r="J125" s="6"/>
      <c r="K125" s="6"/>
      <c r="L125" s="6"/>
      <c r="M125" s="6"/>
      <c r="N125" s="6"/>
      <c r="O125" s="31"/>
      <c r="P125" s="32"/>
      <c r="Q125" s="6"/>
      <c r="R125" s="59"/>
      <c r="T125" s="182"/>
      <c r="U125" s="182"/>
      <c r="V125" s="1"/>
      <c r="W125" s="1"/>
      <c r="X125" s="1"/>
    </row>
    <row r="126" spans="2:24" ht="9.75" customHeight="1" x14ac:dyDescent="0.4">
      <c r="C126" s="17"/>
      <c r="D126" s="17" t="s">
        <v>313</v>
      </c>
      <c r="E126" s="17"/>
      <c r="F126" s="32"/>
      <c r="G126" s="6"/>
      <c r="H126" s="6"/>
      <c r="I126" s="6"/>
      <c r="J126" s="6"/>
      <c r="K126" s="6"/>
      <c r="L126" s="6"/>
      <c r="M126" s="6"/>
      <c r="N126" s="6"/>
      <c r="O126" s="31"/>
      <c r="P126" s="32"/>
      <c r="Q126" s="6"/>
      <c r="R126" s="59"/>
      <c r="T126" s="182"/>
      <c r="U126" s="182"/>
      <c r="V126" s="1"/>
      <c r="W126" s="1"/>
      <c r="X126" s="1"/>
    </row>
    <row r="127" spans="2:24" ht="9.75" customHeight="1" x14ac:dyDescent="0.4">
      <c r="B127" s="219" t="s">
        <v>395</v>
      </c>
      <c r="C127" s="34"/>
      <c r="D127" s="104" t="s">
        <v>314</v>
      </c>
      <c r="E127" s="104">
        <f t="shared" ref="E127:O127" si="27">SUM(E111:E126)</f>
        <v>247</v>
      </c>
      <c r="F127" s="104">
        <f t="shared" si="27"/>
        <v>61</v>
      </c>
      <c r="G127" s="128">
        <f t="shared" si="27"/>
        <v>44</v>
      </c>
      <c r="H127" s="128">
        <f t="shared" si="27"/>
        <v>34</v>
      </c>
      <c r="I127" s="128">
        <f t="shared" si="27"/>
        <v>33</v>
      </c>
      <c r="J127" s="128">
        <f t="shared" si="27"/>
        <v>30</v>
      </c>
      <c r="K127" s="128">
        <f t="shared" si="27"/>
        <v>38</v>
      </c>
      <c r="L127" s="128">
        <f t="shared" si="27"/>
        <v>35</v>
      </c>
      <c r="M127" s="128">
        <f t="shared" si="27"/>
        <v>48</v>
      </c>
      <c r="N127" s="128">
        <f t="shared" si="27"/>
        <v>69</v>
      </c>
      <c r="O127" s="129">
        <f t="shared" si="27"/>
        <v>88</v>
      </c>
      <c r="P127" s="128">
        <f>MIN(F127:O127)</f>
        <v>30</v>
      </c>
      <c r="Q127" s="128">
        <f>E127-P127</f>
        <v>217</v>
      </c>
      <c r="R127" s="72">
        <f>Q127/E127</f>
        <v>0.87854251012145745</v>
      </c>
      <c r="T127" s="182"/>
      <c r="U127" s="182"/>
      <c r="V127" s="1"/>
      <c r="W127" s="1"/>
      <c r="X127" s="1"/>
    </row>
    <row r="128" spans="2:24" ht="9.75" customHeight="1" x14ac:dyDescent="0.4">
      <c r="C128" s="15" t="s">
        <v>494</v>
      </c>
      <c r="D128" s="15" t="s">
        <v>300</v>
      </c>
      <c r="E128" s="17"/>
      <c r="F128" s="32"/>
      <c r="G128" s="6"/>
      <c r="H128" s="6"/>
      <c r="I128" s="6"/>
      <c r="J128" s="6"/>
      <c r="K128" s="6"/>
      <c r="L128" s="6"/>
      <c r="M128" s="6"/>
      <c r="N128" s="6"/>
      <c r="O128" s="31"/>
      <c r="P128" s="32"/>
      <c r="Q128" s="6"/>
      <c r="R128" s="59"/>
      <c r="T128" s="182"/>
      <c r="U128" s="182"/>
      <c r="V128" s="1"/>
      <c r="W128" s="1"/>
      <c r="X128" s="1"/>
    </row>
    <row r="129" spans="2:24" ht="9.75" customHeight="1" x14ac:dyDescent="0.4">
      <c r="C129" s="17"/>
      <c r="D129" s="17" t="s">
        <v>301</v>
      </c>
      <c r="E129" s="17">
        <v>277</v>
      </c>
      <c r="F129" s="32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4</v>
      </c>
      <c r="M129" s="6">
        <v>21</v>
      </c>
      <c r="N129" s="6">
        <v>46</v>
      </c>
      <c r="O129" s="31">
        <v>65</v>
      </c>
      <c r="P129" s="32">
        <f>MIN(F129:O129)</f>
        <v>0</v>
      </c>
      <c r="Q129" s="6">
        <f>E129-P129</f>
        <v>277</v>
      </c>
      <c r="R129" s="59">
        <f>Q129/E129</f>
        <v>1</v>
      </c>
      <c r="T129" s="182"/>
      <c r="U129" s="182"/>
      <c r="V129" s="1"/>
      <c r="W129" s="1"/>
      <c r="X129" s="1"/>
    </row>
    <row r="130" spans="2:24" ht="9.75" customHeight="1" x14ac:dyDescent="0.4">
      <c r="C130" s="17"/>
      <c r="D130" s="17" t="s">
        <v>303</v>
      </c>
      <c r="E130" s="17"/>
      <c r="F130" s="32"/>
      <c r="G130" s="6"/>
      <c r="H130" s="6"/>
      <c r="I130" s="6"/>
      <c r="J130" s="6"/>
      <c r="K130" s="6"/>
      <c r="L130" s="6"/>
      <c r="M130" s="6"/>
      <c r="N130" s="6"/>
      <c r="O130" s="31"/>
      <c r="P130" s="32"/>
      <c r="Q130" s="6"/>
      <c r="R130" s="59"/>
      <c r="T130" s="182"/>
      <c r="U130" s="182"/>
      <c r="V130" s="1"/>
      <c r="W130" s="1"/>
      <c r="X130" s="1"/>
    </row>
    <row r="131" spans="2:24" ht="9.75" customHeight="1" x14ac:dyDescent="0.4">
      <c r="C131" s="17"/>
      <c r="D131" s="17" t="s">
        <v>369</v>
      </c>
      <c r="E131" s="17"/>
      <c r="F131" s="32"/>
      <c r="G131" s="6"/>
      <c r="H131" s="6"/>
      <c r="I131" s="6"/>
      <c r="J131" s="6"/>
      <c r="K131" s="6"/>
      <c r="L131" s="6"/>
      <c r="M131" s="6"/>
      <c r="N131" s="6"/>
      <c r="O131" s="31"/>
      <c r="P131" s="32"/>
      <c r="Q131" s="6"/>
      <c r="R131" s="59"/>
      <c r="T131" s="182"/>
      <c r="U131" s="182"/>
      <c r="V131" s="1"/>
      <c r="W131" s="1"/>
      <c r="X131" s="1"/>
    </row>
    <row r="132" spans="2:24" ht="9.75" customHeight="1" x14ac:dyDescent="0.4">
      <c r="C132" s="17"/>
      <c r="D132" s="17" t="s">
        <v>369</v>
      </c>
      <c r="E132" s="17"/>
      <c r="F132" s="32"/>
      <c r="G132" s="6"/>
      <c r="H132" s="6"/>
      <c r="I132" s="6"/>
      <c r="J132" s="6"/>
      <c r="K132" s="6"/>
      <c r="L132" s="6"/>
      <c r="M132" s="6"/>
      <c r="N132" s="6"/>
      <c r="O132" s="31"/>
      <c r="P132" s="32"/>
      <c r="Q132" s="6"/>
      <c r="R132" s="59"/>
      <c r="T132" s="182"/>
      <c r="U132" s="182"/>
      <c r="V132" s="1"/>
      <c r="W132" s="1"/>
      <c r="X132" s="1"/>
    </row>
    <row r="133" spans="2:24" ht="9.75" customHeight="1" x14ac:dyDescent="0.4">
      <c r="C133" s="17"/>
      <c r="D133" s="17" t="s">
        <v>308</v>
      </c>
      <c r="E133" s="17"/>
      <c r="F133" s="32"/>
      <c r="G133" s="6"/>
      <c r="H133" s="6"/>
      <c r="I133" s="6"/>
      <c r="J133" s="6"/>
      <c r="K133" s="6"/>
      <c r="L133" s="6"/>
      <c r="M133" s="6"/>
      <c r="N133" s="6"/>
      <c r="O133" s="31"/>
      <c r="P133" s="32"/>
      <c r="Q133" s="6"/>
      <c r="R133" s="59"/>
      <c r="T133" s="182"/>
      <c r="U133" s="182"/>
      <c r="V133" s="1"/>
      <c r="W133" s="1"/>
      <c r="X133" s="1"/>
    </row>
    <row r="134" spans="2:24" ht="9.75" customHeight="1" x14ac:dyDescent="0.4">
      <c r="C134" s="17"/>
      <c r="D134" s="17" t="s">
        <v>377</v>
      </c>
      <c r="E134" s="17"/>
      <c r="F134" s="32"/>
      <c r="G134" s="6"/>
      <c r="H134" s="6"/>
      <c r="I134" s="6"/>
      <c r="J134" s="6"/>
      <c r="K134" s="6"/>
      <c r="L134" s="6"/>
      <c r="M134" s="6"/>
      <c r="N134" s="6"/>
      <c r="O134" s="31"/>
      <c r="P134" s="32"/>
      <c r="Q134" s="6"/>
      <c r="R134" s="59"/>
      <c r="T134" s="182"/>
      <c r="U134" s="182"/>
      <c r="V134" s="1"/>
      <c r="W134" s="1"/>
      <c r="X134" s="1"/>
    </row>
    <row r="135" spans="2:24" ht="9.75" customHeight="1" x14ac:dyDescent="0.4">
      <c r="C135" s="17"/>
      <c r="D135" s="17" t="s">
        <v>374</v>
      </c>
      <c r="E135" s="17"/>
      <c r="F135" s="32"/>
      <c r="G135" s="6"/>
      <c r="H135" s="6"/>
      <c r="I135" s="6"/>
      <c r="J135" s="6"/>
      <c r="K135" s="6"/>
      <c r="L135" s="6"/>
      <c r="M135" s="6"/>
      <c r="N135" s="6"/>
      <c r="O135" s="31"/>
      <c r="P135" s="32"/>
      <c r="Q135" s="6"/>
      <c r="R135" s="59"/>
      <c r="T135" s="182"/>
      <c r="U135" s="182"/>
      <c r="V135" s="1"/>
      <c r="W135" s="1"/>
      <c r="X135" s="1"/>
    </row>
    <row r="136" spans="2:24" ht="9.75" customHeight="1" x14ac:dyDescent="0.4">
      <c r="C136" s="17"/>
      <c r="D136" s="17" t="s">
        <v>374</v>
      </c>
      <c r="E136" s="17"/>
      <c r="F136" s="32"/>
      <c r="G136" s="6"/>
      <c r="H136" s="6"/>
      <c r="I136" s="6"/>
      <c r="J136" s="6"/>
      <c r="K136" s="6"/>
      <c r="L136" s="6"/>
      <c r="M136" s="6"/>
      <c r="N136" s="6"/>
      <c r="O136" s="31"/>
      <c r="P136" s="32"/>
      <c r="Q136" s="6"/>
      <c r="R136" s="59"/>
      <c r="T136" s="182"/>
      <c r="U136" s="182"/>
      <c r="V136" s="1"/>
      <c r="W136" s="1"/>
      <c r="X136" s="1"/>
    </row>
    <row r="137" spans="2:24" ht="9.75" customHeight="1" x14ac:dyDescent="0.4">
      <c r="C137" s="17"/>
      <c r="D137" s="17" t="s">
        <v>374</v>
      </c>
      <c r="E137" s="17"/>
      <c r="F137" s="32"/>
      <c r="G137" s="6"/>
      <c r="H137" s="6"/>
      <c r="I137" s="6"/>
      <c r="J137" s="6"/>
      <c r="K137" s="6"/>
      <c r="L137" s="6"/>
      <c r="M137" s="6"/>
      <c r="N137" s="6"/>
      <c r="O137" s="31"/>
      <c r="P137" s="32"/>
      <c r="Q137" s="6"/>
      <c r="R137" s="59"/>
      <c r="T137" s="182"/>
      <c r="U137" s="182"/>
      <c r="V137" s="1"/>
      <c r="W137" s="1"/>
      <c r="X137" s="1"/>
    </row>
    <row r="138" spans="2:24" ht="9.75" customHeight="1" x14ac:dyDescent="0.4">
      <c r="C138" s="17"/>
      <c r="D138" s="17" t="s">
        <v>374</v>
      </c>
      <c r="E138" s="17"/>
      <c r="F138" s="32"/>
      <c r="G138" s="6"/>
      <c r="H138" s="6"/>
      <c r="I138" s="6"/>
      <c r="J138" s="6"/>
      <c r="K138" s="6"/>
      <c r="L138" s="6"/>
      <c r="M138" s="6"/>
      <c r="N138" s="6"/>
      <c r="O138" s="31"/>
      <c r="P138" s="32"/>
      <c r="Q138" s="6"/>
      <c r="R138" s="59"/>
      <c r="T138" s="182"/>
      <c r="U138" s="182"/>
      <c r="V138" s="1"/>
      <c r="W138" s="1"/>
      <c r="X138" s="1"/>
    </row>
    <row r="139" spans="2:24" ht="9.75" customHeight="1" x14ac:dyDescent="0.4">
      <c r="C139" s="17"/>
      <c r="D139" s="17" t="s">
        <v>374</v>
      </c>
      <c r="E139" s="17"/>
      <c r="F139" s="32"/>
      <c r="G139" s="6"/>
      <c r="H139" s="6"/>
      <c r="I139" s="6"/>
      <c r="J139" s="6"/>
      <c r="K139" s="6"/>
      <c r="L139" s="6"/>
      <c r="M139" s="6"/>
      <c r="N139" s="6"/>
      <c r="O139" s="31"/>
      <c r="P139" s="32"/>
      <c r="Q139" s="6"/>
      <c r="R139" s="59"/>
      <c r="T139" s="182"/>
      <c r="U139" s="182"/>
      <c r="V139" s="1"/>
      <c r="W139" s="1"/>
      <c r="X139" s="1"/>
    </row>
    <row r="140" spans="2:24" ht="9.75" customHeight="1" x14ac:dyDescent="0.4">
      <c r="C140" s="17"/>
      <c r="D140" s="17" t="s">
        <v>310</v>
      </c>
      <c r="E140" s="17"/>
      <c r="F140" s="32"/>
      <c r="G140" s="6"/>
      <c r="H140" s="6"/>
      <c r="I140" s="6"/>
      <c r="J140" s="6"/>
      <c r="K140" s="6"/>
      <c r="L140" s="6"/>
      <c r="M140" s="6"/>
      <c r="N140" s="6"/>
      <c r="O140" s="31"/>
      <c r="P140" s="32"/>
      <c r="Q140" s="6"/>
      <c r="R140" s="59"/>
      <c r="T140" s="182"/>
      <c r="U140" s="182"/>
      <c r="V140" s="1"/>
      <c r="W140" s="1"/>
      <c r="X140" s="1"/>
    </row>
    <row r="141" spans="2:24" ht="9.75" customHeight="1" x14ac:dyDescent="0.4">
      <c r="C141" s="17"/>
      <c r="D141" s="17" t="s">
        <v>311</v>
      </c>
      <c r="E141" s="17"/>
      <c r="F141" s="32"/>
      <c r="G141" s="6"/>
      <c r="H141" s="6"/>
      <c r="I141" s="6"/>
      <c r="J141" s="6"/>
      <c r="K141" s="6"/>
      <c r="L141" s="6"/>
      <c r="M141" s="6"/>
      <c r="N141" s="6"/>
      <c r="O141" s="31"/>
      <c r="P141" s="32"/>
      <c r="Q141" s="6"/>
      <c r="R141" s="59"/>
      <c r="T141" s="182"/>
      <c r="U141" s="182"/>
      <c r="V141" s="1"/>
      <c r="W141" s="1"/>
      <c r="X141" s="1"/>
    </row>
    <row r="142" spans="2:24" ht="9.75" customHeight="1" x14ac:dyDescent="0.4">
      <c r="C142" s="17"/>
      <c r="D142" s="17" t="s">
        <v>312</v>
      </c>
      <c r="E142" s="17"/>
      <c r="F142" s="32"/>
      <c r="G142" s="6"/>
      <c r="H142" s="6"/>
      <c r="I142" s="6"/>
      <c r="J142" s="6"/>
      <c r="K142" s="6"/>
      <c r="L142" s="6"/>
      <c r="M142" s="6"/>
      <c r="N142" s="6"/>
      <c r="O142" s="31"/>
      <c r="P142" s="32"/>
      <c r="Q142" s="6"/>
      <c r="R142" s="59"/>
      <c r="T142" s="182"/>
      <c r="U142" s="182"/>
      <c r="V142" s="1"/>
      <c r="W142" s="1"/>
      <c r="X142" s="1"/>
    </row>
    <row r="143" spans="2:24" ht="9.75" customHeight="1" x14ac:dyDescent="0.4">
      <c r="C143" s="17"/>
      <c r="D143" s="17" t="s">
        <v>313</v>
      </c>
      <c r="E143" s="17"/>
      <c r="F143" s="32"/>
      <c r="G143" s="6"/>
      <c r="H143" s="6"/>
      <c r="I143" s="6"/>
      <c r="J143" s="6"/>
      <c r="K143" s="6"/>
      <c r="L143" s="6"/>
      <c r="M143" s="6"/>
      <c r="N143" s="6"/>
      <c r="O143" s="31"/>
      <c r="P143" s="32"/>
      <c r="Q143" s="6"/>
      <c r="R143" s="59"/>
      <c r="T143" s="182"/>
      <c r="U143" s="182"/>
      <c r="V143" s="1"/>
      <c r="W143" s="1"/>
      <c r="X143" s="1"/>
    </row>
    <row r="144" spans="2:24" ht="9.75" customHeight="1" x14ac:dyDescent="0.4">
      <c r="B144" s="219" t="s">
        <v>395</v>
      </c>
      <c r="C144" s="34"/>
      <c r="D144" s="104" t="s">
        <v>314</v>
      </c>
      <c r="E144" s="104">
        <f t="shared" ref="E144:O144" si="28">SUM(E128:E143)</f>
        <v>277</v>
      </c>
      <c r="F144" s="104">
        <f t="shared" si="28"/>
        <v>0</v>
      </c>
      <c r="G144" s="128">
        <f t="shared" si="28"/>
        <v>0</v>
      </c>
      <c r="H144" s="128">
        <f t="shared" si="28"/>
        <v>0</v>
      </c>
      <c r="I144" s="128">
        <f t="shared" si="28"/>
        <v>0</v>
      </c>
      <c r="J144" s="128">
        <f t="shared" si="28"/>
        <v>0</v>
      </c>
      <c r="K144" s="128">
        <f t="shared" si="28"/>
        <v>0</v>
      </c>
      <c r="L144" s="128">
        <f t="shared" si="28"/>
        <v>4</v>
      </c>
      <c r="M144" s="128">
        <f t="shared" si="28"/>
        <v>21</v>
      </c>
      <c r="N144" s="128">
        <f t="shared" si="28"/>
        <v>46</v>
      </c>
      <c r="O144" s="129">
        <f t="shared" si="28"/>
        <v>65</v>
      </c>
      <c r="P144" s="128">
        <f>MIN(F144:O144)</f>
        <v>0</v>
      </c>
      <c r="Q144" s="128">
        <f>E144-P144</f>
        <v>277</v>
      </c>
      <c r="R144" s="72">
        <f>Q144/E144</f>
        <v>1</v>
      </c>
      <c r="T144" s="182"/>
      <c r="U144" s="182"/>
      <c r="V144" s="1"/>
      <c r="W144" s="1"/>
      <c r="X144" s="1"/>
    </row>
    <row r="145" spans="3:24" ht="9.75" customHeight="1" x14ac:dyDescent="0.4">
      <c r="C145" s="15" t="s">
        <v>104</v>
      </c>
      <c r="D145" s="15" t="s">
        <v>300</v>
      </c>
      <c r="E145" s="17"/>
      <c r="F145" s="32"/>
      <c r="G145" s="6"/>
      <c r="H145" s="6"/>
      <c r="I145" s="6"/>
      <c r="J145" s="6"/>
      <c r="K145" s="6"/>
      <c r="L145" s="6"/>
      <c r="M145" s="6"/>
      <c r="N145" s="6"/>
      <c r="O145" s="31"/>
      <c r="P145" s="73"/>
      <c r="Q145" s="108"/>
      <c r="R145" s="188"/>
      <c r="T145" s="182"/>
      <c r="U145" s="182"/>
      <c r="V145" s="1"/>
      <c r="W145" s="1"/>
      <c r="X145" s="1"/>
    </row>
    <row r="146" spans="3:24" ht="9.75" customHeight="1" x14ac:dyDescent="0.4">
      <c r="C146" s="17"/>
      <c r="D146" s="17" t="s">
        <v>301</v>
      </c>
      <c r="E146" s="17"/>
      <c r="F146" s="32"/>
      <c r="G146" s="6"/>
      <c r="H146" s="6"/>
      <c r="I146" s="6"/>
      <c r="J146" s="6"/>
      <c r="K146" s="6"/>
      <c r="L146" s="6"/>
      <c r="M146" s="6"/>
      <c r="N146" s="6"/>
      <c r="O146" s="31"/>
      <c r="P146" s="32"/>
      <c r="Q146" s="6"/>
      <c r="R146" s="59"/>
      <c r="T146" s="182"/>
      <c r="U146" s="182"/>
      <c r="V146" s="1"/>
      <c r="W146" s="1"/>
      <c r="X146" s="1"/>
    </row>
    <row r="147" spans="3:24" ht="9.75" customHeight="1" x14ac:dyDescent="0.4">
      <c r="C147" s="17"/>
      <c r="D147" s="17" t="s">
        <v>303</v>
      </c>
      <c r="E147" s="17"/>
      <c r="F147" s="32"/>
      <c r="G147" s="6"/>
      <c r="H147" s="6"/>
      <c r="I147" s="6"/>
      <c r="J147" s="6"/>
      <c r="K147" s="6"/>
      <c r="L147" s="6"/>
      <c r="M147" s="6"/>
      <c r="N147" s="6"/>
      <c r="O147" s="31"/>
      <c r="P147" s="32"/>
      <c r="Q147" s="6"/>
      <c r="R147" s="59"/>
      <c r="T147" s="182"/>
      <c r="U147" s="182"/>
      <c r="V147" s="1"/>
      <c r="W147" s="1"/>
      <c r="X147" s="1"/>
    </row>
    <row r="148" spans="3:24" ht="9.75" customHeight="1" x14ac:dyDescent="0.4">
      <c r="C148" s="17"/>
      <c r="D148" s="17" t="s">
        <v>409</v>
      </c>
      <c r="E148" s="17">
        <v>128</v>
      </c>
      <c r="F148" s="32">
        <f>E148-20</f>
        <v>108</v>
      </c>
      <c r="G148" s="6">
        <f>E148-41</f>
        <v>87</v>
      </c>
      <c r="H148" s="6">
        <f>E148-47</f>
        <v>81</v>
      </c>
      <c r="I148" s="6">
        <v>32</v>
      </c>
      <c r="J148" s="6">
        <v>17</v>
      </c>
      <c r="K148" s="6">
        <v>20</v>
      </c>
      <c r="L148" s="6">
        <v>0</v>
      </c>
      <c r="M148" s="6">
        <v>11</v>
      </c>
      <c r="N148" s="6">
        <v>22</v>
      </c>
      <c r="O148" s="31">
        <v>36</v>
      </c>
      <c r="P148" s="32">
        <f>MIN(F148:O148)</f>
        <v>0</v>
      </c>
      <c r="Q148" s="6">
        <f>E148-P148</f>
        <v>128</v>
      </c>
      <c r="R148" s="59">
        <f>Q148/E148</f>
        <v>1</v>
      </c>
      <c r="T148" s="182"/>
      <c r="U148" s="182"/>
      <c r="V148" s="1"/>
      <c r="W148" s="1"/>
      <c r="X148" s="1"/>
    </row>
    <row r="149" spans="3:24" ht="9.75" customHeight="1" x14ac:dyDescent="0.4">
      <c r="C149" s="17"/>
      <c r="D149" s="17" t="s">
        <v>369</v>
      </c>
      <c r="E149" s="17"/>
      <c r="F149" s="32"/>
      <c r="G149" s="6"/>
      <c r="H149" s="6"/>
      <c r="I149" s="6"/>
      <c r="J149" s="6"/>
      <c r="K149" s="6"/>
      <c r="L149" s="6"/>
      <c r="M149" s="6"/>
      <c r="N149" s="6"/>
      <c r="O149" s="31"/>
      <c r="P149" s="32"/>
      <c r="Q149" s="6"/>
      <c r="R149" s="59"/>
      <c r="T149" s="182"/>
      <c r="U149" s="182"/>
      <c r="V149" s="1"/>
      <c r="W149" s="1"/>
      <c r="X149" s="1"/>
    </row>
    <row r="150" spans="3:24" ht="9.75" customHeight="1" x14ac:dyDescent="0.4">
      <c r="C150" s="17"/>
      <c r="D150" s="17" t="s">
        <v>308</v>
      </c>
      <c r="E150" s="17"/>
      <c r="F150" s="32"/>
      <c r="G150" s="6"/>
      <c r="H150" s="6"/>
      <c r="I150" s="6"/>
      <c r="J150" s="6"/>
      <c r="K150" s="6"/>
      <c r="L150" s="6"/>
      <c r="M150" s="6"/>
      <c r="N150" s="6"/>
      <c r="O150" s="31"/>
      <c r="P150" s="32"/>
      <c r="Q150" s="6"/>
      <c r="R150" s="59"/>
      <c r="T150" s="182"/>
      <c r="U150" s="182"/>
      <c r="V150" s="1"/>
      <c r="W150" s="1"/>
      <c r="X150" s="1"/>
    </row>
    <row r="151" spans="3:24" ht="9.75" customHeight="1" x14ac:dyDescent="0.4">
      <c r="C151" s="17"/>
      <c r="D151" s="17" t="s">
        <v>374</v>
      </c>
      <c r="E151" s="17"/>
      <c r="F151" s="364"/>
      <c r="G151" s="364"/>
      <c r="H151" s="364"/>
      <c r="I151" s="364"/>
      <c r="J151" s="364"/>
      <c r="K151" s="364"/>
      <c r="L151" s="364"/>
      <c r="M151" s="364"/>
      <c r="N151" s="364"/>
      <c r="O151" s="364"/>
      <c r="P151" s="32"/>
      <c r="Q151" s="6"/>
      <c r="R151" s="59"/>
      <c r="T151" s="182"/>
      <c r="U151" s="182"/>
      <c r="V151" s="1"/>
      <c r="W151" s="1"/>
      <c r="X151" s="1"/>
    </row>
    <row r="152" spans="3:24" ht="9.75" customHeight="1" x14ac:dyDescent="0.4">
      <c r="C152" s="17"/>
      <c r="D152" s="17" t="s">
        <v>374</v>
      </c>
      <c r="E152" s="17"/>
      <c r="F152" s="32"/>
      <c r="G152" s="6"/>
      <c r="H152" s="6"/>
      <c r="I152" s="6"/>
      <c r="J152" s="6"/>
      <c r="K152" s="6"/>
      <c r="L152" s="6"/>
      <c r="M152" s="6"/>
      <c r="N152" s="6"/>
      <c r="O152" s="31"/>
      <c r="P152" s="32"/>
      <c r="Q152" s="6"/>
      <c r="R152" s="59"/>
      <c r="T152" s="182"/>
      <c r="U152" s="182"/>
      <c r="V152" s="1"/>
      <c r="W152" s="1"/>
      <c r="X152" s="1"/>
    </row>
    <row r="153" spans="3:24" ht="9.75" customHeight="1" x14ac:dyDescent="0.4">
      <c r="C153" s="17"/>
      <c r="D153" s="17" t="s">
        <v>374</v>
      </c>
      <c r="E153" s="17"/>
      <c r="F153" s="32"/>
      <c r="G153" s="6"/>
      <c r="H153" s="6"/>
      <c r="I153" s="6"/>
      <c r="J153" s="6"/>
      <c r="K153" s="6"/>
      <c r="L153" s="6"/>
      <c r="M153" s="6"/>
      <c r="N153" s="6"/>
      <c r="O153" s="31"/>
      <c r="P153" s="32"/>
      <c r="Q153" s="6"/>
      <c r="R153" s="59"/>
      <c r="T153" s="182"/>
      <c r="U153" s="182"/>
      <c r="V153" s="1"/>
      <c r="W153" s="1"/>
      <c r="X153" s="1"/>
    </row>
    <row r="154" spans="3:24" ht="9.75" customHeight="1" x14ac:dyDescent="0.4">
      <c r="C154" s="17"/>
      <c r="D154" s="17" t="s">
        <v>374</v>
      </c>
      <c r="E154" s="17"/>
      <c r="F154" s="32"/>
      <c r="G154" s="6"/>
      <c r="H154" s="6"/>
      <c r="I154" s="6"/>
      <c r="J154" s="6"/>
      <c r="K154" s="6"/>
      <c r="L154" s="6"/>
      <c r="M154" s="6"/>
      <c r="N154" s="6"/>
      <c r="O154" s="31"/>
      <c r="P154" s="32"/>
      <c r="Q154" s="6"/>
      <c r="R154" s="59"/>
      <c r="T154" s="182"/>
      <c r="U154" s="182"/>
      <c r="V154" s="1"/>
      <c r="W154" s="1"/>
      <c r="X154" s="1"/>
    </row>
    <row r="155" spans="3:24" ht="9.75" customHeight="1" x14ac:dyDescent="0.4">
      <c r="C155" s="17"/>
      <c r="D155" s="17" t="s">
        <v>374</v>
      </c>
      <c r="E155" s="17"/>
      <c r="F155" s="32"/>
      <c r="G155" s="6"/>
      <c r="H155" s="6"/>
      <c r="I155" s="6"/>
      <c r="J155" s="6"/>
      <c r="K155" s="6"/>
      <c r="L155" s="6"/>
      <c r="M155" s="6"/>
      <c r="N155" s="6"/>
      <c r="O155" s="31"/>
      <c r="P155" s="32"/>
      <c r="Q155" s="6"/>
      <c r="R155" s="59"/>
      <c r="T155" s="182"/>
      <c r="U155" s="182"/>
      <c r="V155" s="1"/>
      <c r="W155" s="1"/>
      <c r="X155" s="1"/>
    </row>
    <row r="156" spans="3:24" ht="9.75" customHeight="1" x14ac:dyDescent="0.4">
      <c r="C156" s="17"/>
      <c r="D156" s="17" t="s">
        <v>374</v>
      </c>
      <c r="E156" s="17"/>
      <c r="F156" s="32"/>
      <c r="G156" s="6"/>
      <c r="H156" s="6"/>
      <c r="I156" s="6"/>
      <c r="J156" s="6"/>
      <c r="K156" s="6"/>
      <c r="L156" s="6"/>
      <c r="M156" s="6"/>
      <c r="N156" s="6"/>
      <c r="O156" s="31"/>
      <c r="P156" s="32"/>
      <c r="Q156" s="6"/>
      <c r="R156" s="59"/>
      <c r="T156" s="182"/>
      <c r="U156" s="182"/>
      <c r="V156" s="1"/>
      <c r="W156" s="1"/>
      <c r="X156" s="1"/>
    </row>
    <row r="157" spans="3:24" ht="9.75" customHeight="1" x14ac:dyDescent="0.4">
      <c r="C157" s="17"/>
      <c r="D157" s="17" t="s">
        <v>310</v>
      </c>
      <c r="E157" s="17"/>
      <c r="F157" s="32"/>
      <c r="G157" s="6"/>
      <c r="H157" s="6"/>
      <c r="I157" s="6"/>
      <c r="J157" s="6"/>
      <c r="K157" s="6"/>
      <c r="L157" s="6"/>
      <c r="M157" s="6"/>
      <c r="N157" s="6"/>
      <c r="O157" s="31"/>
      <c r="P157" s="32"/>
      <c r="Q157" s="6"/>
      <c r="R157" s="59"/>
      <c r="T157" s="182"/>
      <c r="U157" s="182"/>
      <c r="V157" s="1"/>
      <c r="W157" s="1"/>
      <c r="X157" s="1"/>
    </row>
    <row r="158" spans="3:24" ht="9.75" customHeight="1" x14ac:dyDescent="0.4">
      <c r="C158" s="17"/>
      <c r="D158" s="17" t="s">
        <v>311</v>
      </c>
      <c r="E158" s="17"/>
      <c r="F158" s="32"/>
      <c r="G158" s="6"/>
      <c r="H158" s="6"/>
      <c r="I158" s="6"/>
      <c r="J158" s="6"/>
      <c r="K158" s="6"/>
      <c r="L158" s="6"/>
      <c r="M158" s="6"/>
      <c r="N158" s="6"/>
      <c r="O158" s="31"/>
      <c r="P158" s="32"/>
      <c r="Q158" s="6"/>
      <c r="R158" s="59"/>
      <c r="T158" s="182"/>
      <c r="U158" s="182"/>
      <c r="V158" s="1"/>
      <c r="W158" s="1"/>
      <c r="X158" s="1"/>
    </row>
    <row r="159" spans="3:24" ht="9.75" customHeight="1" x14ac:dyDescent="0.4">
      <c r="C159" s="17"/>
      <c r="D159" s="17" t="s">
        <v>312</v>
      </c>
      <c r="E159" s="17"/>
      <c r="F159" s="32"/>
      <c r="G159" s="6"/>
      <c r="H159" s="6"/>
      <c r="I159" s="6"/>
      <c r="J159" s="6"/>
      <c r="K159" s="6"/>
      <c r="L159" s="6"/>
      <c r="M159" s="6"/>
      <c r="N159" s="6"/>
      <c r="O159" s="31"/>
      <c r="P159" s="32"/>
      <c r="Q159" s="6"/>
      <c r="R159" s="59"/>
      <c r="T159" s="182"/>
      <c r="U159" s="182"/>
      <c r="V159" s="1"/>
      <c r="W159" s="1"/>
      <c r="X159" s="1"/>
    </row>
    <row r="160" spans="3:24" ht="9.75" customHeight="1" x14ac:dyDescent="0.4">
      <c r="C160" s="17"/>
      <c r="D160" s="17" t="s">
        <v>313</v>
      </c>
      <c r="E160" s="17"/>
      <c r="F160" s="32"/>
      <c r="G160" s="6"/>
      <c r="H160" s="6"/>
      <c r="I160" s="6"/>
      <c r="J160" s="6"/>
      <c r="K160" s="6"/>
      <c r="L160" s="6"/>
      <c r="M160" s="6"/>
      <c r="N160" s="6"/>
      <c r="O160" s="31"/>
      <c r="P160" s="32"/>
      <c r="Q160" s="6"/>
      <c r="R160" s="59"/>
      <c r="T160" s="182"/>
      <c r="U160" s="182"/>
      <c r="V160" s="1"/>
      <c r="W160" s="1"/>
      <c r="X160" s="1"/>
    </row>
    <row r="161" spans="2:24" ht="9.75" customHeight="1" x14ac:dyDescent="0.4">
      <c r="B161" s="219" t="s">
        <v>395</v>
      </c>
      <c r="C161" s="34"/>
      <c r="D161" s="104" t="s">
        <v>314</v>
      </c>
      <c r="E161" s="104">
        <f t="shared" ref="E161:O161" si="29">SUM(E145:E160)</f>
        <v>128</v>
      </c>
      <c r="F161" s="104">
        <f t="shared" si="29"/>
        <v>108</v>
      </c>
      <c r="G161" s="128">
        <f t="shared" si="29"/>
        <v>87</v>
      </c>
      <c r="H161" s="128">
        <f t="shared" si="29"/>
        <v>81</v>
      </c>
      <c r="I161" s="128">
        <f t="shared" si="29"/>
        <v>32</v>
      </c>
      <c r="J161" s="128">
        <f t="shared" si="29"/>
        <v>17</v>
      </c>
      <c r="K161" s="128">
        <f t="shared" si="29"/>
        <v>20</v>
      </c>
      <c r="L161" s="128">
        <f t="shared" si="29"/>
        <v>0</v>
      </c>
      <c r="M161" s="128">
        <f t="shared" si="29"/>
        <v>11</v>
      </c>
      <c r="N161" s="128">
        <f t="shared" si="29"/>
        <v>22</v>
      </c>
      <c r="O161" s="129">
        <f t="shared" si="29"/>
        <v>36</v>
      </c>
      <c r="P161" s="128">
        <f>MIN(F161:O161)</f>
        <v>0</v>
      </c>
      <c r="Q161" s="128">
        <f>E161-P161</f>
        <v>128</v>
      </c>
      <c r="R161" s="72">
        <f>Q161/E161</f>
        <v>1</v>
      </c>
      <c r="T161" s="182"/>
      <c r="U161" s="182"/>
      <c r="V161" s="1"/>
      <c r="W161" s="1"/>
      <c r="X161" s="1"/>
    </row>
    <row r="162" spans="2:24" ht="9.75" customHeight="1" x14ac:dyDescent="0.4">
      <c r="C162" s="15" t="s">
        <v>121</v>
      </c>
      <c r="D162" s="15" t="s">
        <v>300</v>
      </c>
      <c r="E162" s="17"/>
      <c r="F162" s="32"/>
      <c r="G162" s="6"/>
      <c r="H162" s="6"/>
      <c r="I162" s="6"/>
      <c r="J162" s="6"/>
      <c r="K162" s="6"/>
      <c r="L162" s="6"/>
      <c r="M162" s="6"/>
      <c r="N162" s="6"/>
      <c r="O162" s="31"/>
      <c r="P162" s="32"/>
      <c r="Q162" s="6"/>
      <c r="R162" s="59"/>
      <c r="T162" s="182"/>
      <c r="U162" s="182"/>
      <c r="V162" s="1"/>
      <c r="W162" s="1"/>
      <c r="X162" s="1"/>
    </row>
    <row r="163" spans="2:24" ht="9.75" customHeight="1" x14ac:dyDescent="0.4">
      <c r="C163" s="17"/>
      <c r="D163" s="17" t="s">
        <v>301</v>
      </c>
      <c r="E163" s="17"/>
      <c r="F163" s="32"/>
      <c r="G163" s="6"/>
      <c r="H163" s="6"/>
      <c r="I163" s="6"/>
      <c r="J163" s="6"/>
      <c r="K163" s="6"/>
      <c r="L163" s="6"/>
      <c r="M163" s="6"/>
      <c r="N163" s="6"/>
      <c r="O163" s="31"/>
      <c r="P163" s="32"/>
      <c r="Q163" s="6"/>
      <c r="R163" s="59"/>
      <c r="T163" s="182"/>
      <c r="U163" s="182"/>
      <c r="V163" s="1"/>
      <c r="W163" s="1"/>
      <c r="X163" s="1"/>
    </row>
    <row r="164" spans="2:24" ht="9.75" customHeight="1" x14ac:dyDescent="0.4">
      <c r="C164" s="17"/>
      <c r="D164" s="17" t="s">
        <v>303</v>
      </c>
      <c r="E164" s="17"/>
      <c r="F164" s="32"/>
      <c r="G164" s="6"/>
      <c r="H164" s="6"/>
      <c r="I164" s="6"/>
      <c r="J164" s="6"/>
      <c r="K164" s="6"/>
      <c r="L164" s="6"/>
      <c r="M164" s="6"/>
      <c r="N164" s="6"/>
      <c r="O164" s="31"/>
      <c r="P164" s="32"/>
      <c r="Q164" s="6"/>
      <c r="R164" s="59"/>
      <c r="T164" s="182"/>
      <c r="U164" s="182"/>
      <c r="V164" s="1"/>
      <c r="W164" s="1"/>
      <c r="X164" s="1"/>
    </row>
    <row r="165" spans="2:24" ht="9.75" customHeight="1" x14ac:dyDescent="0.4">
      <c r="C165" s="17"/>
      <c r="D165" s="17" t="s">
        <v>409</v>
      </c>
      <c r="E165" s="17">
        <f>120+57</f>
        <v>177</v>
      </c>
      <c r="F165" s="32">
        <f>E165-9-55</f>
        <v>113</v>
      </c>
      <c r="G165" s="6">
        <f>57-28+2</f>
        <v>31</v>
      </c>
      <c r="H165" s="6">
        <f>57-30+3</f>
        <v>30</v>
      </c>
      <c r="I165" s="6">
        <v>19</v>
      </c>
      <c r="J165" s="6">
        <v>21</v>
      </c>
      <c r="K165" s="6">
        <v>14</v>
      </c>
      <c r="L165" s="6">
        <v>0</v>
      </c>
      <c r="M165" s="6">
        <v>2</v>
      </c>
      <c r="N165" s="6">
        <f>17+26</f>
        <v>43</v>
      </c>
      <c r="O165" s="31">
        <f>25+44</f>
        <v>69</v>
      </c>
      <c r="P165" s="32">
        <f>MIN(F165:O165)</f>
        <v>0</v>
      </c>
      <c r="Q165" s="6">
        <f>E165-P165</f>
        <v>177</v>
      </c>
      <c r="R165" s="59">
        <f>Q165/E165</f>
        <v>1</v>
      </c>
      <c r="T165" s="182"/>
      <c r="U165" s="182"/>
      <c r="V165" s="1"/>
      <c r="W165" s="1"/>
      <c r="X165" s="1"/>
    </row>
    <row r="166" spans="2:24" ht="9.75" customHeight="1" x14ac:dyDescent="0.4">
      <c r="C166" s="17"/>
      <c r="D166" s="17" t="s">
        <v>369</v>
      </c>
      <c r="E166" s="17"/>
      <c r="F166" s="32"/>
      <c r="G166" s="6"/>
      <c r="H166" s="6"/>
      <c r="I166" s="6"/>
      <c r="J166" s="6"/>
      <c r="K166" s="6"/>
      <c r="L166" s="6"/>
      <c r="M166" s="6"/>
      <c r="N166" s="6"/>
      <c r="O166" s="31"/>
      <c r="P166" s="32"/>
      <c r="Q166" s="6"/>
      <c r="R166" s="59"/>
      <c r="T166" s="182"/>
      <c r="U166" s="182"/>
      <c r="V166" s="1"/>
      <c r="W166" s="1"/>
      <c r="X166" s="1"/>
    </row>
    <row r="167" spans="2:24" ht="9.75" customHeight="1" x14ac:dyDescent="0.4">
      <c r="C167" s="17"/>
      <c r="D167" s="17" t="s">
        <v>308</v>
      </c>
      <c r="E167" s="17"/>
      <c r="F167" s="32"/>
      <c r="G167" s="6"/>
      <c r="H167" s="6"/>
      <c r="I167" s="6"/>
      <c r="J167" s="6"/>
      <c r="K167" s="6"/>
      <c r="L167" s="6"/>
      <c r="M167" s="6"/>
      <c r="N167" s="6"/>
      <c r="O167" s="31"/>
      <c r="P167" s="32"/>
      <c r="Q167" s="6"/>
      <c r="R167" s="59"/>
      <c r="T167" s="182"/>
      <c r="U167" s="182"/>
      <c r="V167" s="1"/>
      <c r="W167" s="1"/>
      <c r="X167" s="1"/>
    </row>
    <row r="168" spans="2:24" ht="9.75" customHeight="1" x14ac:dyDescent="0.4">
      <c r="C168" s="17"/>
      <c r="D168" s="17" t="s">
        <v>377</v>
      </c>
      <c r="E168" s="17"/>
      <c r="F168" s="32"/>
      <c r="G168" s="6"/>
      <c r="H168" s="6"/>
      <c r="I168" s="6"/>
      <c r="J168" s="6"/>
      <c r="K168" s="6"/>
      <c r="L168" s="6"/>
      <c r="M168" s="6"/>
      <c r="N168" s="6"/>
      <c r="O168" s="31"/>
      <c r="P168" s="32"/>
      <c r="Q168" s="6"/>
      <c r="R168" s="59"/>
      <c r="T168" s="182"/>
      <c r="U168" s="182"/>
      <c r="V168" s="1"/>
      <c r="W168" s="1"/>
      <c r="X168" s="1"/>
    </row>
    <row r="169" spans="2:24" ht="9.75" customHeight="1" x14ac:dyDescent="0.4">
      <c r="C169" s="17"/>
      <c r="D169" s="17" t="s">
        <v>374</v>
      </c>
      <c r="E169" s="17"/>
      <c r="F169" s="32"/>
      <c r="G169" s="6"/>
      <c r="H169" s="6"/>
      <c r="I169" s="6"/>
      <c r="J169" s="6"/>
      <c r="K169" s="6"/>
      <c r="L169" s="6"/>
      <c r="M169" s="6"/>
      <c r="N169" s="6"/>
      <c r="O169" s="31"/>
      <c r="P169" s="32"/>
      <c r="Q169" s="6"/>
      <c r="R169" s="59"/>
      <c r="T169" s="182"/>
      <c r="U169" s="182"/>
      <c r="V169" s="1"/>
      <c r="W169" s="1"/>
      <c r="X169" s="1"/>
    </row>
    <row r="170" spans="2:24" ht="9.75" customHeight="1" x14ac:dyDescent="0.4">
      <c r="C170" s="17"/>
      <c r="D170" s="17" t="s">
        <v>374</v>
      </c>
      <c r="E170" s="17"/>
      <c r="F170" s="32"/>
      <c r="G170" s="6"/>
      <c r="H170" s="6"/>
      <c r="I170" s="6"/>
      <c r="J170" s="6"/>
      <c r="K170" s="6"/>
      <c r="L170" s="6"/>
      <c r="M170" s="6"/>
      <c r="N170" s="6"/>
      <c r="O170" s="31"/>
      <c r="P170" s="32"/>
      <c r="Q170" s="6"/>
      <c r="R170" s="59"/>
      <c r="T170" s="182"/>
      <c r="U170" s="182"/>
      <c r="V170" s="1"/>
      <c r="W170" s="1"/>
      <c r="X170" s="1"/>
    </row>
    <row r="171" spans="2:24" ht="9.75" customHeight="1" x14ac:dyDescent="0.4">
      <c r="C171" s="17"/>
      <c r="D171" s="17" t="s">
        <v>374</v>
      </c>
      <c r="E171" s="17"/>
      <c r="F171" s="32"/>
      <c r="G171" s="6"/>
      <c r="H171" s="6"/>
      <c r="I171" s="6"/>
      <c r="J171" s="6"/>
      <c r="K171" s="6"/>
      <c r="L171" s="6"/>
      <c r="M171" s="6"/>
      <c r="N171" s="6"/>
      <c r="O171" s="31"/>
      <c r="P171" s="32"/>
      <c r="Q171" s="6"/>
      <c r="R171" s="59"/>
      <c r="T171" s="182"/>
      <c r="U171" s="182"/>
      <c r="V171" s="1"/>
      <c r="W171" s="1"/>
      <c r="X171" s="1"/>
    </row>
    <row r="172" spans="2:24" ht="9.75" customHeight="1" x14ac:dyDescent="0.4">
      <c r="C172" s="17"/>
      <c r="D172" s="17" t="s">
        <v>374</v>
      </c>
      <c r="E172" s="17"/>
      <c r="F172" s="32"/>
      <c r="G172" s="6"/>
      <c r="H172" s="6"/>
      <c r="I172" s="6"/>
      <c r="J172" s="6"/>
      <c r="K172" s="6"/>
      <c r="L172" s="6"/>
      <c r="M172" s="6"/>
      <c r="N172" s="6"/>
      <c r="O172" s="31"/>
      <c r="P172" s="32"/>
      <c r="Q172" s="6"/>
      <c r="R172" s="59"/>
      <c r="T172" s="182"/>
      <c r="U172" s="182"/>
      <c r="V172" s="1"/>
      <c r="W172" s="1"/>
      <c r="X172" s="1"/>
    </row>
    <row r="173" spans="2:24" ht="9.75" customHeight="1" x14ac:dyDescent="0.4">
      <c r="C173" s="17"/>
      <c r="D173" s="17" t="s">
        <v>374</v>
      </c>
      <c r="E173" s="17"/>
      <c r="F173" s="32"/>
      <c r="G173" s="6"/>
      <c r="H173" s="6"/>
      <c r="I173" s="6"/>
      <c r="J173" s="6"/>
      <c r="K173" s="6"/>
      <c r="L173" s="6"/>
      <c r="M173" s="6"/>
      <c r="N173" s="6"/>
      <c r="O173" s="31"/>
      <c r="P173" s="32"/>
      <c r="Q173" s="6"/>
      <c r="R173" s="59"/>
      <c r="T173" s="182"/>
      <c r="U173" s="182"/>
      <c r="V173" s="1"/>
      <c r="W173" s="1"/>
      <c r="X173" s="1"/>
    </row>
    <row r="174" spans="2:24" ht="9.75" customHeight="1" x14ac:dyDescent="0.4">
      <c r="C174" s="17"/>
      <c r="D174" s="17" t="s">
        <v>310</v>
      </c>
      <c r="E174" s="17"/>
      <c r="F174" s="32"/>
      <c r="G174" s="6"/>
      <c r="H174" s="6"/>
      <c r="I174" s="6"/>
      <c r="J174" s="6"/>
      <c r="K174" s="6"/>
      <c r="L174" s="6"/>
      <c r="M174" s="6"/>
      <c r="N174" s="6"/>
      <c r="O174" s="31"/>
      <c r="P174" s="32"/>
      <c r="Q174" s="6"/>
      <c r="R174" s="59"/>
      <c r="T174" s="182"/>
      <c r="U174" s="182"/>
      <c r="V174" s="1"/>
      <c r="W174" s="1"/>
      <c r="X174" s="1"/>
    </row>
    <row r="175" spans="2:24" ht="9.75" customHeight="1" x14ac:dyDescent="0.4">
      <c r="C175" s="17"/>
      <c r="D175" s="17" t="s">
        <v>311</v>
      </c>
      <c r="E175" s="17"/>
      <c r="F175" s="32"/>
      <c r="G175" s="6"/>
      <c r="H175" s="6"/>
      <c r="I175" s="6"/>
      <c r="J175" s="6"/>
      <c r="K175" s="6"/>
      <c r="L175" s="6"/>
      <c r="M175" s="6"/>
      <c r="N175" s="6"/>
      <c r="O175" s="31"/>
      <c r="P175" s="32"/>
      <c r="Q175" s="6"/>
      <c r="R175" s="59"/>
      <c r="T175" s="182"/>
      <c r="U175" s="182"/>
      <c r="V175" s="1"/>
      <c r="W175" s="1"/>
      <c r="X175" s="1"/>
    </row>
    <row r="176" spans="2:24" ht="9.75" customHeight="1" x14ac:dyDescent="0.4">
      <c r="C176" s="17"/>
      <c r="D176" s="17" t="s">
        <v>312</v>
      </c>
      <c r="E176" s="17"/>
      <c r="F176" s="32"/>
      <c r="G176" s="6"/>
      <c r="H176" s="6"/>
      <c r="I176" s="6"/>
      <c r="J176" s="6"/>
      <c r="K176" s="6"/>
      <c r="L176" s="6"/>
      <c r="M176" s="6"/>
      <c r="N176" s="6"/>
      <c r="O176" s="31"/>
      <c r="P176" s="32"/>
      <c r="Q176" s="6"/>
      <c r="R176" s="59"/>
      <c r="T176" s="182"/>
      <c r="U176" s="182"/>
      <c r="V176" s="1"/>
      <c r="W176" s="1"/>
      <c r="X176" s="1"/>
    </row>
    <row r="177" spans="2:24" ht="9.75" customHeight="1" x14ac:dyDescent="0.4">
      <c r="C177" s="17"/>
      <c r="D177" s="17" t="s">
        <v>313</v>
      </c>
      <c r="E177" s="17"/>
      <c r="F177" s="32"/>
      <c r="G177" s="6"/>
      <c r="H177" s="6"/>
      <c r="I177" s="6"/>
      <c r="J177" s="6"/>
      <c r="K177" s="6"/>
      <c r="L177" s="6"/>
      <c r="M177" s="6"/>
      <c r="N177" s="6"/>
      <c r="O177" s="31"/>
      <c r="P177" s="32"/>
      <c r="Q177" s="6"/>
      <c r="R177" s="59"/>
      <c r="T177" s="182"/>
      <c r="U177" s="182"/>
      <c r="V177" s="1"/>
      <c r="W177" s="1"/>
      <c r="X177" s="1"/>
    </row>
    <row r="178" spans="2:24" ht="9.75" customHeight="1" x14ac:dyDescent="0.4">
      <c r="B178" s="219" t="s">
        <v>395</v>
      </c>
      <c r="C178" s="34"/>
      <c r="D178" s="104" t="s">
        <v>314</v>
      </c>
      <c r="E178" s="104">
        <f t="shared" ref="E178:O178" si="30">SUM(E162:E177)</f>
        <v>177</v>
      </c>
      <c r="F178" s="104">
        <f t="shared" si="30"/>
        <v>113</v>
      </c>
      <c r="G178" s="128">
        <f t="shared" si="30"/>
        <v>31</v>
      </c>
      <c r="H178" s="128">
        <f t="shared" si="30"/>
        <v>30</v>
      </c>
      <c r="I178" s="128">
        <f t="shared" si="30"/>
        <v>19</v>
      </c>
      <c r="J178" s="128">
        <f t="shared" si="30"/>
        <v>21</v>
      </c>
      <c r="K178" s="128">
        <f t="shared" si="30"/>
        <v>14</v>
      </c>
      <c r="L178" s="128">
        <f t="shared" si="30"/>
        <v>0</v>
      </c>
      <c r="M178" s="128">
        <f t="shared" si="30"/>
        <v>2</v>
      </c>
      <c r="N178" s="128">
        <f t="shared" si="30"/>
        <v>43</v>
      </c>
      <c r="O178" s="129">
        <f t="shared" si="30"/>
        <v>69</v>
      </c>
      <c r="P178" s="128">
        <f>MIN(F178:O178)</f>
        <v>0</v>
      </c>
      <c r="Q178" s="128">
        <f>E178-P178</f>
        <v>177</v>
      </c>
      <c r="R178" s="72">
        <f>Q178/E178</f>
        <v>1</v>
      </c>
      <c r="T178" s="182"/>
      <c r="U178" s="182"/>
      <c r="V178" s="1"/>
      <c r="W178" s="1"/>
      <c r="X178" s="1"/>
    </row>
    <row r="179" spans="2:24" ht="9.75" customHeight="1" x14ac:dyDescent="0.4">
      <c r="C179" s="15" t="s">
        <v>139</v>
      </c>
      <c r="D179" s="15" t="s">
        <v>300</v>
      </c>
      <c r="E179" s="17"/>
      <c r="F179" s="32"/>
      <c r="G179" s="6"/>
      <c r="H179" s="6"/>
      <c r="I179" s="6"/>
      <c r="J179" s="6"/>
      <c r="K179" s="6"/>
      <c r="L179" s="6"/>
      <c r="M179" s="6"/>
      <c r="N179" s="6"/>
      <c r="O179" s="31"/>
      <c r="P179" s="32"/>
      <c r="Q179" s="6"/>
      <c r="R179" s="59"/>
      <c r="T179" s="182"/>
      <c r="U179" s="182"/>
      <c r="V179" s="1"/>
      <c r="W179" s="1"/>
      <c r="X179" s="1"/>
    </row>
    <row r="180" spans="2:24" ht="9.75" customHeight="1" x14ac:dyDescent="0.4">
      <c r="C180" s="17"/>
      <c r="D180" s="17" t="s">
        <v>301</v>
      </c>
      <c r="E180" s="17"/>
      <c r="F180" s="32"/>
      <c r="G180" s="6"/>
      <c r="H180" s="6"/>
      <c r="I180" s="6"/>
      <c r="J180" s="6"/>
      <c r="K180" s="6"/>
      <c r="L180" s="6"/>
      <c r="M180" s="6"/>
      <c r="N180" s="6"/>
      <c r="O180" s="31"/>
      <c r="P180" s="32"/>
      <c r="Q180" s="6"/>
      <c r="R180" s="59"/>
      <c r="T180" s="182"/>
      <c r="U180" s="182"/>
      <c r="V180" s="1"/>
      <c r="W180" s="1"/>
      <c r="X180" s="1"/>
    </row>
    <row r="181" spans="2:24" ht="9.75" customHeight="1" x14ac:dyDescent="0.4">
      <c r="C181" s="17"/>
      <c r="D181" s="17" t="s">
        <v>303</v>
      </c>
      <c r="E181" s="17"/>
      <c r="F181" s="32"/>
      <c r="G181" s="6"/>
      <c r="H181" s="6"/>
      <c r="I181" s="6"/>
      <c r="J181" s="6"/>
      <c r="K181" s="6"/>
      <c r="L181" s="6"/>
      <c r="M181" s="6"/>
      <c r="N181" s="6"/>
      <c r="O181" s="31"/>
      <c r="P181" s="32"/>
      <c r="Q181" s="6"/>
      <c r="R181" s="59"/>
      <c r="T181" s="182"/>
      <c r="U181" s="182"/>
      <c r="V181" s="1"/>
      <c r="W181" s="1"/>
      <c r="X181" s="1"/>
    </row>
    <row r="182" spans="2:24" ht="9.75" customHeight="1" x14ac:dyDescent="0.4">
      <c r="C182" s="17"/>
      <c r="D182" s="17" t="s">
        <v>409</v>
      </c>
      <c r="E182" s="17">
        <f>57+59</f>
        <v>116</v>
      </c>
      <c r="F182" s="32">
        <f>57-38</f>
        <v>19</v>
      </c>
      <c r="G182" s="6">
        <v>1</v>
      </c>
      <c r="H182" s="6">
        <v>2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8</v>
      </c>
      <c r="O182" s="31">
        <v>8</v>
      </c>
      <c r="P182" s="32">
        <f>MIN(F182:O182)</f>
        <v>0</v>
      </c>
      <c r="Q182" s="6">
        <f>E182-P182</f>
        <v>116</v>
      </c>
      <c r="R182" s="59">
        <f>Q182/E182</f>
        <v>1</v>
      </c>
      <c r="T182" s="182"/>
      <c r="U182" s="182"/>
      <c r="V182" s="1"/>
      <c r="W182" s="1"/>
      <c r="X182" s="1"/>
    </row>
    <row r="183" spans="2:24" ht="9.75" customHeight="1" x14ac:dyDescent="0.4">
      <c r="C183" s="17"/>
      <c r="D183" s="17" t="s">
        <v>369</v>
      </c>
      <c r="E183" s="17"/>
      <c r="F183" s="32"/>
      <c r="G183" s="6"/>
      <c r="H183" s="6"/>
      <c r="I183" s="6"/>
      <c r="J183" s="6"/>
      <c r="K183" s="6"/>
      <c r="L183" s="6"/>
      <c r="M183" s="6"/>
      <c r="N183" s="6"/>
      <c r="O183" s="31"/>
      <c r="P183" s="32"/>
      <c r="Q183" s="6"/>
      <c r="R183" s="59"/>
      <c r="T183" s="182"/>
      <c r="U183" s="182"/>
      <c r="V183" s="1"/>
      <c r="W183" s="1"/>
      <c r="X183" s="1"/>
    </row>
    <row r="184" spans="2:24" ht="9.75" customHeight="1" x14ac:dyDescent="0.4">
      <c r="C184" s="17"/>
      <c r="D184" s="17" t="s">
        <v>308</v>
      </c>
      <c r="E184" s="17"/>
      <c r="F184" s="32"/>
      <c r="G184" s="6"/>
      <c r="H184" s="6"/>
      <c r="I184" s="6"/>
      <c r="J184" s="6"/>
      <c r="K184" s="6"/>
      <c r="L184" s="6"/>
      <c r="M184" s="6"/>
      <c r="N184" s="6"/>
      <c r="O184" s="31"/>
      <c r="P184" s="32"/>
      <c r="Q184" s="6"/>
      <c r="R184" s="59"/>
      <c r="T184" s="182"/>
      <c r="U184" s="182"/>
      <c r="V184" s="1"/>
      <c r="W184" s="1"/>
      <c r="X184" s="1"/>
    </row>
    <row r="185" spans="2:24" ht="9.75" customHeight="1" x14ac:dyDescent="0.4">
      <c r="C185" s="17"/>
      <c r="D185" s="17" t="s">
        <v>372</v>
      </c>
      <c r="E185" s="17">
        <v>3</v>
      </c>
      <c r="F185" s="83">
        <v>0</v>
      </c>
      <c r="G185" s="74">
        <v>0</v>
      </c>
      <c r="H185" s="74">
        <v>0</v>
      </c>
      <c r="I185" s="74">
        <v>0</v>
      </c>
      <c r="J185" s="74">
        <v>0</v>
      </c>
      <c r="K185" s="6">
        <v>0</v>
      </c>
      <c r="L185" s="6">
        <v>0</v>
      </c>
      <c r="M185" s="6">
        <v>0</v>
      </c>
      <c r="N185" s="6">
        <v>0</v>
      </c>
      <c r="O185" s="31">
        <v>0</v>
      </c>
      <c r="P185" s="54">
        <f>MIN(F185:O185)</f>
        <v>0</v>
      </c>
      <c r="Q185" s="58">
        <f>E185-P185</f>
        <v>3</v>
      </c>
      <c r="R185" s="59">
        <f>Q185/E185</f>
        <v>1</v>
      </c>
      <c r="T185" s="182"/>
      <c r="U185" s="182"/>
      <c r="V185" s="1"/>
      <c r="W185" s="1"/>
      <c r="X185" s="1"/>
    </row>
    <row r="186" spans="2:24" ht="9.75" customHeight="1" x14ac:dyDescent="0.4">
      <c r="C186" s="17"/>
      <c r="D186" s="17" t="s">
        <v>374</v>
      </c>
      <c r="E186" s="17"/>
      <c r="F186" s="32"/>
      <c r="G186" s="6"/>
      <c r="H186" s="6"/>
      <c r="I186" s="6"/>
      <c r="J186" s="6"/>
      <c r="K186" s="6"/>
      <c r="L186" s="6"/>
      <c r="M186" s="6"/>
      <c r="N186" s="6"/>
      <c r="O186" s="31"/>
      <c r="P186" s="32"/>
      <c r="Q186" s="6"/>
      <c r="R186" s="59"/>
      <c r="T186" s="182"/>
      <c r="U186" s="182"/>
      <c r="V186" s="1"/>
      <c r="W186" s="1"/>
      <c r="X186" s="1"/>
    </row>
    <row r="187" spans="2:24" ht="9.75" customHeight="1" x14ac:dyDescent="0.4">
      <c r="C187" s="17"/>
      <c r="D187" s="17" t="s">
        <v>374</v>
      </c>
      <c r="E187" s="17"/>
      <c r="F187" s="32"/>
      <c r="G187" s="6"/>
      <c r="H187" s="6"/>
      <c r="I187" s="6"/>
      <c r="J187" s="6"/>
      <c r="K187" s="6"/>
      <c r="L187" s="6"/>
      <c r="M187" s="6"/>
      <c r="N187" s="6"/>
      <c r="O187" s="31"/>
      <c r="P187" s="32"/>
      <c r="Q187" s="6"/>
      <c r="R187" s="59"/>
      <c r="T187" s="182"/>
      <c r="U187" s="182"/>
      <c r="V187" s="1"/>
      <c r="W187" s="1"/>
      <c r="X187" s="1"/>
    </row>
    <row r="188" spans="2:24" ht="9.75" customHeight="1" x14ac:dyDescent="0.4">
      <c r="C188" s="17"/>
      <c r="D188" s="17" t="s">
        <v>374</v>
      </c>
      <c r="E188" s="17"/>
      <c r="F188" s="32"/>
      <c r="G188" s="6"/>
      <c r="H188" s="6"/>
      <c r="I188" s="6"/>
      <c r="J188" s="6"/>
      <c r="K188" s="6"/>
      <c r="L188" s="6"/>
      <c r="M188" s="6"/>
      <c r="N188" s="6"/>
      <c r="O188" s="31"/>
      <c r="P188" s="32"/>
      <c r="Q188" s="6"/>
      <c r="R188" s="59"/>
      <c r="T188" s="182"/>
      <c r="U188" s="182"/>
      <c r="V188" s="1"/>
      <c r="W188" s="1"/>
      <c r="X188" s="1"/>
    </row>
    <row r="189" spans="2:24" ht="9.75" customHeight="1" x14ac:dyDescent="0.4">
      <c r="C189" s="17"/>
      <c r="D189" s="17" t="s">
        <v>374</v>
      </c>
      <c r="E189" s="17"/>
      <c r="F189" s="32"/>
      <c r="G189" s="6"/>
      <c r="H189" s="6"/>
      <c r="I189" s="6"/>
      <c r="J189" s="6"/>
      <c r="K189" s="6"/>
      <c r="L189" s="6"/>
      <c r="M189" s="6"/>
      <c r="N189" s="6"/>
      <c r="O189" s="31"/>
      <c r="P189" s="32"/>
      <c r="Q189" s="6"/>
      <c r="R189" s="59"/>
      <c r="T189" s="182"/>
      <c r="U189" s="182"/>
      <c r="V189" s="1"/>
      <c r="W189" s="1"/>
      <c r="X189" s="1"/>
    </row>
    <row r="190" spans="2:24" ht="9.75" customHeight="1" x14ac:dyDescent="0.4">
      <c r="C190" s="17"/>
      <c r="D190" s="17" t="s">
        <v>374</v>
      </c>
      <c r="E190" s="17"/>
      <c r="F190" s="32"/>
      <c r="G190" s="6"/>
      <c r="H190" s="6"/>
      <c r="I190" s="6"/>
      <c r="J190" s="6"/>
      <c r="K190" s="6"/>
      <c r="L190" s="6"/>
      <c r="M190" s="6"/>
      <c r="N190" s="6"/>
      <c r="O190" s="31"/>
      <c r="P190" s="32"/>
      <c r="Q190" s="6"/>
      <c r="R190" s="59"/>
      <c r="T190" s="182"/>
      <c r="U190" s="182"/>
      <c r="V190" s="1"/>
      <c r="W190" s="1"/>
      <c r="X190" s="1"/>
    </row>
    <row r="191" spans="2:24" ht="9.75" customHeight="1" x14ac:dyDescent="0.4">
      <c r="C191" s="17"/>
      <c r="D191" s="17" t="s">
        <v>310</v>
      </c>
      <c r="E191" s="17">
        <v>37</v>
      </c>
      <c r="F191" s="32">
        <f>E191-16</f>
        <v>21</v>
      </c>
      <c r="G191" s="6">
        <v>2</v>
      </c>
      <c r="H191" s="6">
        <v>3</v>
      </c>
      <c r="I191" s="6">
        <v>1</v>
      </c>
      <c r="J191" s="58">
        <v>0</v>
      </c>
      <c r="K191" s="6">
        <v>0</v>
      </c>
      <c r="L191" s="6">
        <v>0</v>
      </c>
      <c r="M191" s="6">
        <v>4</v>
      </c>
      <c r="N191" s="6">
        <v>10</v>
      </c>
      <c r="O191" s="31">
        <v>15</v>
      </c>
      <c r="P191" s="32">
        <f>MIN(F191:O191)</f>
        <v>0</v>
      </c>
      <c r="Q191" s="6">
        <f>E191-P191</f>
        <v>37</v>
      </c>
      <c r="R191" s="59">
        <f>Q191/E191</f>
        <v>1</v>
      </c>
      <c r="T191" s="182"/>
      <c r="U191" s="182"/>
      <c r="V191" s="1"/>
      <c r="W191" s="1"/>
      <c r="X191" s="1"/>
    </row>
    <row r="192" spans="2:24" ht="9.75" customHeight="1" x14ac:dyDescent="0.4">
      <c r="C192" s="17"/>
      <c r="D192" s="17" t="s">
        <v>311</v>
      </c>
      <c r="E192" s="17"/>
      <c r="F192" s="32"/>
      <c r="G192" s="6"/>
      <c r="H192" s="6"/>
      <c r="I192" s="6"/>
      <c r="J192" s="6"/>
      <c r="K192" s="6"/>
      <c r="L192" s="6"/>
      <c r="M192" s="6"/>
      <c r="N192" s="6"/>
      <c r="O192" s="31"/>
      <c r="P192" s="32"/>
      <c r="Q192" s="6"/>
      <c r="R192" s="59"/>
      <c r="T192" s="182"/>
      <c r="U192" s="182"/>
      <c r="V192" s="1"/>
      <c r="W192" s="1"/>
      <c r="X192" s="1"/>
    </row>
    <row r="193" spans="2:24" ht="9.75" customHeight="1" x14ac:dyDescent="0.4">
      <c r="C193" s="17"/>
      <c r="D193" s="17" t="s">
        <v>312</v>
      </c>
      <c r="E193" s="17"/>
      <c r="F193" s="32"/>
      <c r="G193" s="6"/>
      <c r="H193" s="6"/>
      <c r="I193" s="6"/>
      <c r="J193" s="6"/>
      <c r="K193" s="6"/>
      <c r="L193" s="6"/>
      <c r="M193" s="6"/>
      <c r="N193" s="6"/>
      <c r="O193" s="31"/>
      <c r="P193" s="32"/>
      <c r="Q193" s="6"/>
      <c r="R193" s="59"/>
      <c r="T193" s="182"/>
      <c r="U193" s="182"/>
      <c r="V193" s="1"/>
      <c r="W193" s="1"/>
      <c r="X193" s="1"/>
    </row>
    <row r="194" spans="2:24" ht="9.75" customHeight="1" x14ac:dyDescent="0.4">
      <c r="C194" s="17"/>
      <c r="D194" s="17" t="s">
        <v>313</v>
      </c>
      <c r="E194" s="17"/>
      <c r="F194" s="32"/>
      <c r="G194" s="6"/>
      <c r="H194" s="6"/>
      <c r="I194" s="6"/>
      <c r="J194" s="6"/>
      <c r="K194" s="6"/>
      <c r="L194" s="6"/>
      <c r="M194" s="6"/>
      <c r="N194" s="6"/>
      <c r="O194" s="31"/>
      <c r="P194" s="32"/>
      <c r="Q194" s="6"/>
      <c r="R194" s="59"/>
      <c r="T194" s="182"/>
      <c r="U194" s="182"/>
      <c r="V194" s="1"/>
      <c r="W194" s="1"/>
      <c r="X194" s="1"/>
    </row>
    <row r="195" spans="2:24" ht="9.75" customHeight="1" x14ac:dyDescent="0.4">
      <c r="B195" s="219" t="s">
        <v>395</v>
      </c>
      <c r="C195" s="34"/>
      <c r="D195" s="104" t="s">
        <v>314</v>
      </c>
      <c r="E195" s="104">
        <f t="shared" ref="E195:O195" si="31">SUM(E179:E194)</f>
        <v>156</v>
      </c>
      <c r="F195" s="104">
        <f t="shared" si="31"/>
        <v>40</v>
      </c>
      <c r="G195" s="128">
        <f t="shared" si="31"/>
        <v>3</v>
      </c>
      <c r="H195" s="128">
        <f t="shared" si="31"/>
        <v>5</v>
      </c>
      <c r="I195" s="128">
        <f t="shared" si="31"/>
        <v>1</v>
      </c>
      <c r="J195" s="128">
        <f t="shared" si="31"/>
        <v>0</v>
      </c>
      <c r="K195" s="128">
        <f t="shared" si="31"/>
        <v>0</v>
      </c>
      <c r="L195" s="128">
        <f t="shared" si="31"/>
        <v>0</v>
      </c>
      <c r="M195" s="128">
        <f t="shared" si="31"/>
        <v>4</v>
      </c>
      <c r="N195" s="128">
        <f t="shared" si="31"/>
        <v>18</v>
      </c>
      <c r="O195" s="129">
        <f t="shared" si="31"/>
        <v>23</v>
      </c>
      <c r="P195" s="128">
        <f t="shared" ref="P195:P196" si="32">MIN(F195:O195)</f>
        <v>0</v>
      </c>
      <c r="Q195" s="128">
        <f t="shared" ref="Q195:Q196" si="33">E195-P195</f>
        <v>156</v>
      </c>
      <c r="R195" s="72">
        <f t="shared" ref="R195:R196" si="34">Q195/E195</f>
        <v>1</v>
      </c>
      <c r="T195" s="182"/>
      <c r="U195" s="182"/>
      <c r="V195" s="1"/>
      <c r="W195" s="1"/>
      <c r="X195" s="1"/>
    </row>
    <row r="196" spans="2:24" ht="9.75" customHeight="1" x14ac:dyDescent="0.4">
      <c r="C196" s="15" t="s">
        <v>154</v>
      </c>
      <c r="D196" s="15" t="s">
        <v>300</v>
      </c>
      <c r="E196" s="17">
        <v>7</v>
      </c>
      <c r="F196" s="32"/>
      <c r="G196" s="6"/>
      <c r="H196" s="6"/>
      <c r="I196" s="6"/>
      <c r="J196" s="6"/>
      <c r="K196" s="6"/>
      <c r="L196" s="6"/>
      <c r="M196" s="6"/>
      <c r="N196" s="6"/>
      <c r="O196" s="31"/>
      <c r="P196" s="32">
        <f t="shared" si="32"/>
        <v>0</v>
      </c>
      <c r="Q196" s="6">
        <f t="shared" si="33"/>
        <v>7</v>
      </c>
      <c r="R196" s="59">
        <f t="shared" si="34"/>
        <v>1</v>
      </c>
      <c r="T196" s="182"/>
      <c r="U196" s="182"/>
      <c r="V196" s="1"/>
      <c r="W196" s="1"/>
      <c r="X196" s="1"/>
    </row>
    <row r="197" spans="2:24" ht="9.75" customHeight="1" x14ac:dyDescent="0.4">
      <c r="C197" s="17"/>
      <c r="D197" s="17" t="s">
        <v>301</v>
      </c>
      <c r="E197" s="17"/>
      <c r="F197" s="32"/>
      <c r="G197" s="6"/>
      <c r="H197" s="6"/>
      <c r="I197" s="6"/>
      <c r="J197" s="6"/>
      <c r="K197" s="6"/>
      <c r="L197" s="6"/>
      <c r="M197" s="6"/>
      <c r="N197" s="6"/>
      <c r="O197" s="31"/>
      <c r="P197" s="32"/>
      <c r="Q197" s="6"/>
      <c r="R197" s="59"/>
      <c r="T197" s="182"/>
      <c r="U197" s="182"/>
      <c r="V197" s="1"/>
      <c r="W197" s="1"/>
      <c r="X197" s="1"/>
    </row>
    <row r="198" spans="2:24" ht="9.75" customHeight="1" x14ac:dyDescent="0.4">
      <c r="C198" s="17"/>
      <c r="D198" s="17" t="s">
        <v>303</v>
      </c>
      <c r="E198" s="17"/>
      <c r="F198" s="32"/>
      <c r="G198" s="6"/>
      <c r="H198" s="6"/>
      <c r="I198" s="6"/>
      <c r="J198" s="6"/>
      <c r="K198" s="6"/>
      <c r="L198" s="6"/>
      <c r="M198" s="6"/>
      <c r="N198" s="6"/>
      <c r="O198" s="31"/>
      <c r="P198" s="32"/>
      <c r="Q198" s="6"/>
      <c r="R198" s="59"/>
      <c r="T198" s="182"/>
      <c r="U198" s="182"/>
      <c r="V198" s="1"/>
      <c r="W198" s="1"/>
      <c r="X198" s="1"/>
    </row>
    <row r="199" spans="2:24" ht="9.75" customHeight="1" x14ac:dyDescent="0.4">
      <c r="C199" s="17"/>
      <c r="D199" s="17" t="s">
        <v>409</v>
      </c>
      <c r="E199" s="17">
        <f>49+16</f>
        <v>65</v>
      </c>
      <c r="F199" s="32">
        <v>0</v>
      </c>
      <c r="G199" s="6">
        <v>0</v>
      </c>
      <c r="H199" s="6">
        <v>1</v>
      </c>
      <c r="I199" s="6">
        <v>0</v>
      </c>
      <c r="J199" s="6">
        <v>0</v>
      </c>
      <c r="K199" s="6">
        <v>0</v>
      </c>
      <c r="L199" s="6">
        <v>0</v>
      </c>
      <c r="M199" s="6">
        <v>2</v>
      </c>
      <c r="N199" s="6">
        <v>2</v>
      </c>
      <c r="O199" s="31">
        <v>6</v>
      </c>
      <c r="P199" s="32">
        <f>MIN(F199:O199)</f>
        <v>0</v>
      </c>
      <c r="Q199" s="6">
        <f>E199-P199</f>
        <v>65</v>
      </c>
      <c r="R199" s="59">
        <f>Q199/E199</f>
        <v>1</v>
      </c>
      <c r="T199" s="182"/>
      <c r="U199" s="182"/>
      <c r="V199" s="1"/>
      <c r="W199" s="1"/>
      <c r="X199" s="1"/>
    </row>
    <row r="200" spans="2:24" ht="9.75" customHeight="1" x14ac:dyDescent="0.4">
      <c r="C200" s="17"/>
      <c r="D200" s="17" t="s">
        <v>369</v>
      </c>
      <c r="E200" s="17"/>
      <c r="F200" s="32"/>
      <c r="G200" s="6"/>
      <c r="H200" s="6"/>
      <c r="I200" s="6"/>
      <c r="J200" s="6"/>
      <c r="K200" s="6"/>
      <c r="L200" s="6"/>
      <c r="M200" s="6"/>
      <c r="N200" s="6"/>
      <c r="O200" s="31"/>
      <c r="P200" s="32"/>
      <c r="Q200" s="6"/>
      <c r="R200" s="59"/>
      <c r="T200" s="182"/>
      <c r="U200" s="182"/>
      <c r="V200" s="1"/>
      <c r="W200" s="1"/>
      <c r="X200" s="1"/>
    </row>
    <row r="201" spans="2:24" ht="9.75" customHeight="1" x14ac:dyDescent="0.4">
      <c r="C201" s="17"/>
      <c r="D201" s="17" t="s">
        <v>308</v>
      </c>
      <c r="E201" s="385">
        <v>15</v>
      </c>
      <c r="F201" s="32">
        <v>13</v>
      </c>
      <c r="G201" s="6">
        <v>10</v>
      </c>
      <c r="H201" s="6">
        <v>10</v>
      </c>
      <c r="I201" s="6">
        <v>5</v>
      </c>
      <c r="J201" s="6">
        <v>10</v>
      </c>
      <c r="K201" s="6">
        <v>10</v>
      </c>
      <c r="L201" s="6">
        <v>6</v>
      </c>
      <c r="M201" s="6">
        <v>11</v>
      </c>
      <c r="N201" s="6">
        <v>13</v>
      </c>
      <c r="O201" s="31">
        <v>6</v>
      </c>
      <c r="P201" s="32">
        <f t="shared" ref="P201:P203" si="35">MIN(F201:O201)</f>
        <v>5</v>
      </c>
      <c r="Q201" s="6">
        <f t="shared" ref="Q201:Q203" si="36">E201-P201</f>
        <v>10</v>
      </c>
      <c r="R201" s="59">
        <f t="shared" ref="R201:R203" si="37">Q201/E201</f>
        <v>0.66666666666666663</v>
      </c>
      <c r="T201" s="182"/>
      <c r="U201" s="182"/>
      <c r="V201" s="1"/>
      <c r="W201" s="1"/>
      <c r="X201" s="1"/>
    </row>
    <row r="202" spans="2:24" ht="9.75" customHeight="1" x14ac:dyDescent="0.4">
      <c r="C202" s="17"/>
      <c r="D202" s="17" t="s">
        <v>372</v>
      </c>
      <c r="E202" s="17">
        <v>3</v>
      </c>
      <c r="F202" s="32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1</v>
      </c>
      <c r="O202" s="31">
        <v>2</v>
      </c>
      <c r="P202" s="32">
        <f t="shared" si="35"/>
        <v>0</v>
      </c>
      <c r="Q202" s="6">
        <f t="shared" si="36"/>
        <v>3</v>
      </c>
      <c r="R202" s="59">
        <f t="shared" si="37"/>
        <v>1</v>
      </c>
      <c r="T202" s="182"/>
      <c r="U202" s="182"/>
      <c r="V202" s="1"/>
      <c r="W202" s="1"/>
      <c r="X202" s="1"/>
    </row>
    <row r="203" spans="2:24" ht="9.75" customHeight="1" x14ac:dyDescent="0.4">
      <c r="C203" s="17"/>
      <c r="D203" s="17" t="s">
        <v>495</v>
      </c>
      <c r="E203" s="17">
        <v>10</v>
      </c>
      <c r="F203" s="32">
        <v>6</v>
      </c>
      <c r="G203" s="6">
        <v>5</v>
      </c>
      <c r="H203" s="6">
        <v>5</v>
      </c>
      <c r="I203" s="6">
        <v>1</v>
      </c>
      <c r="J203" s="6">
        <v>1</v>
      </c>
      <c r="K203" s="6">
        <v>2</v>
      </c>
      <c r="L203" s="6">
        <v>0</v>
      </c>
      <c r="M203" s="6">
        <v>2</v>
      </c>
      <c r="N203" s="6">
        <v>1</v>
      </c>
      <c r="O203" s="31">
        <v>0</v>
      </c>
      <c r="P203" s="32">
        <f t="shared" si="35"/>
        <v>0</v>
      </c>
      <c r="Q203" s="6">
        <f t="shared" si="36"/>
        <v>10</v>
      </c>
      <c r="R203" s="59">
        <f t="shared" si="37"/>
        <v>1</v>
      </c>
      <c r="T203" s="182"/>
      <c r="U203" s="182"/>
      <c r="V203" s="1"/>
      <c r="W203" s="1"/>
      <c r="X203" s="1"/>
    </row>
    <row r="204" spans="2:24" ht="9.75" customHeight="1" x14ac:dyDescent="0.4">
      <c r="C204" s="17"/>
      <c r="D204" s="17" t="s">
        <v>496</v>
      </c>
      <c r="E204" s="17">
        <v>1</v>
      </c>
      <c r="F204" s="361"/>
      <c r="G204" s="359"/>
      <c r="H204" s="359"/>
      <c r="I204" s="359"/>
      <c r="J204" s="359"/>
      <c r="K204" s="359"/>
      <c r="L204" s="359"/>
      <c r="M204" s="359"/>
      <c r="N204" s="359"/>
      <c r="O204" s="360"/>
      <c r="P204" s="361"/>
      <c r="Q204" s="359"/>
      <c r="R204" s="362"/>
      <c r="T204" s="182"/>
      <c r="U204" s="182"/>
      <c r="V204" s="1"/>
      <c r="W204" s="1"/>
      <c r="X204" s="1"/>
    </row>
    <row r="205" spans="2:24" ht="9.75" customHeight="1" x14ac:dyDescent="0.4">
      <c r="C205" s="17"/>
      <c r="D205" s="17" t="s">
        <v>374</v>
      </c>
      <c r="E205" s="17"/>
      <c r="F205" s="32"/>
      <c r="G205" s="6"/>
      <c r="H205" s="6"/>
      <c r="I205" s="6"/>
      <c r="J205" s="6"/>
      <c r="K205" s="6"/>
      <c r="L205" s="6"/>
      <c r="M205" s="6"/>
      <c r="N205" s="6"/>
      <c r="O205" s="31"/>
      <c r="P205" s="32"/>
      <c r="Q205" s="6"/>
      <c r="R205" s="59"/>
      <c r="T205" s="182"/>
      <c r="U205" s="182"/>
      <c r="V205" s="1"/>
      <c r="W205" s="1"/>
      <c r="X205" s="1"/>
    </row>
    <row r="206" spans="2:24" ht="9.75" customHeight="1" x14ac:dyDescent="0.4">
      <c r="C206" s="17"/>
      <c r="D206" s="17" t="s">
        <v>374</v>
      </c>
      <c r="E206" s="17"/>
      <c r="F206" s="32"/>
      <c r="G206" s="6"/>
      <c r="H206" s="6"/>
      <c r="I206" s="6"/>
      <c r="J206" s="6"/>
      <c r="K206" s="6"/>
      <c r="L206" s="6"/>
      <c r="M206" s="6"/>
      <c r="N206" s="6"/>
      <c r="O206" s="31"/>
      <c r="P206" s="32"/>
      <c r="Q206" s="6"/>
      <c r="R206" s="59"/>
      <c r="T206" s="182"/>
      <c r="U206" s="182"/>
      <c r="V206" s="1"/>
      <c r="W206" s="1"/>
      <c r="X206" s="1"/>
    </row>
    <row r="207" spans="2:24" ht="9.75" customHeight="1" x14ac:dyDescent="0.4">
      <c r="C207" s="17"/>
      <c r="D207" s="17" t="s">
        <v>374</v>
      </c>
      <c r="E207" s="17"/>
      <c r="F207" s="32"/>
      <c r="G207" s="6"/>
      <c r="H207" s="6"/>
      <c r="I207" s="6"/>
      <c r="J207" s="6"/>
      <c r="K207" s="6"/>
      <c r="L207" s="6"/>
      <c r="M207" s="6"/>
      <c r="N207" s="6"/>
      <c r="O207" s="31"/>
      <c r="P207" s="32"/>
      <c r="Q207" s="6"/>
      <c r="R207" s="59"/>
      <c r="T207" s="182"/>
      <c r="U207" s="182"/>
      <c r="V207" s="1"/>
      <c r="W207" s="1"/>
      <c r="X207" s="1"/>
    </row>
    <row r="208" spans="2:24" ht="9.75" customHeight="1" x14ac:dyDescent="0.4">
      <c r="C208" s="17"/>
      <c r="D208" s="17" t="s">
        <v>310</v>
      </c>
      <c r="E208" s="17">
        <v>31</v>
      </c>
      <c r="F208" s="32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31">
        <v>0</v>
      </c>
      <c r="P208" s="32">
        <f>MIN(F208:O208)</f>
        <v>0</v>
      </c>
      <c r="Q208" s="6">
        <f>E208-P208</f>
        <v>31</v>
      </c>
      <c r="R208" s="59">
        <f>Q208/E208</f>
        <v>1</v>
      </c>
      <c r="T208" s="182"/>
      <c r="U208" s="182"/>
      <c r="V208" s="1"/>
      <c r="W208" s="1"/>
      <c r="X208" s="1"/>
    </row>
    <row r="209" spans="2:24" ht="9.75" customHeight="1" x14ac:dyDescent="0.4">
      <c r="C209" s="17"/>
      <c r="D209" s="17" t="s">
        <v>311</v>
      </c>
      <c r="E209" s="17"/>
      <c r="F209" s="32"/>
      <c r="G209" s="6"/>
      <c r="H209" s="6"/>
      <c r="I209" s="6"/>
      <c r="J209" s="6"/>
      <c r="K209" s="6"/>
      <c r="L209" s="6"/>
      <c r="M209" s="6"/>
      <c r="N209" s="6"/>
      <c r="O209" s="31"/>
      <c r="P209" s="32"/>
      <c r="Q209" s="6"/>
      <c r="R209" s="59"/>
      <c r="T209" s="182"/>
      <c r="U209" s="182"/>
      <c r="V209" s="1"/>
      <c r="W209" s="1"/>
      <c r="X209" s="1"/>
    </row>
    <row r="210" spans="2:24" ht="9.75" customHeight="1" x14ac:dyDescent="0.4">
      <c r="C210" s="17"/>
      <c r="D210" s="17" t="s">
        <v>312</v>
      </c>
      <c r="E210" s="17"/>
      <c r="F210" s="32"/>
      <c r="G210" s="6"/>
      <c r="H210" s="6"/>
      <c r="I210" s="6"/>
      <c r="J210" s="6"/>
      <c r="K210" s="6"/>
      <c r="L210" s="6"/>
      <c r="M210" s="6"/>
      <c r="N210" s="6"/>
      <c r="O210" s="31"/>
      <c r="P210" s="32"/>
      <c r="Q210" s="6"/>
      <c r="R210" s="59"/>
      <c r="T210" s="182"/>
      <c r="U210" s="182"/>
      <c r="V210" s="1"/>
      <c r="W210" s="1"/>
      <c r="X210" s="1"/>
    </row>
    <row r="211" spans="2:24" ht="9.75" customHeight="1" x14ac:dyDescent="0.4">
      <c r="C211" s="17"/>
      <c r="D211" s="17" t="s">
        <v>313</v>
      </c>
      <c r="E211" s="17"/>
      <c r="F211" s="32"/>
      <c r="G211" s="6"/>
      <c r="H211" s="6"/>
      <c r="I211" s="6"/>
      <c r="J211" s="6"/>
      <c r="K211" s="6"/>
      <c r="L211" s="6"/>
      <c r="M211" s="6"/>
      <c r="N211" s="6"/>
      <c r="O211" s="31"/>
      <c r="P211" s="32"/>
      <c r="Q211" s="6"/>
      <c r="R211" s="59"/>
      <c r="T211" s="182"/>
      <c r="U211" s="182"/>
      <c r="V211" s="1"/>
      <c r="W211" s="1"/>
      <c r="X211" s="1"/>
    </row>
    <row r="212" spans="2:24" ht="9.75" customHeight="1" x14ac:dyDescent="0.4">
      <c r="B212" s="219" t="s">
        <v>395</v>
      </c>
      <c r="C212" s="34"/>
      <c r="D212" s="104" t="s">
        <v>314</v>
      </c>
      <c r="E212" s="104">
        <f t="shared" ref="E212:O212" si="38">SUM(E196:E211)</f>
        <v>132</v>
      </c>
      <c r="F212" s="104">
        <f t="shared" si="38"/>
        <v>19</v>
      </c>
      <c r="G212" s="128">
        <f t="shared" si="38"/>
        <v>15</v>
      </c>
      <c r="H212" s="128">
        <f t="shared" si="38"/>
        <v>16</v>
      </c>
      <c r="I212" s="128">
        <f t="shared" si="38"/>
        <v>6</v>
      </c>
      <c r="J212" s="128">
        <f t="shared" si="38"/>
        <v>11</v>
      </c>
      <c r="K212" s="128">
        <f t="shared" si="38"/>
        <v>12</v>
      </c>
      <c r="L212" s="128">
        <f t="shared" si="38"/>
        <v>6</v>
      </c>
      <c r="M212" s="128">
        <f t="shared" si="38"/>
        <v>15</v>
      </c>
      <c r="N212" s="128">
        <f t="shared" si="38"/>
        <v>17</v>
      </c>
      <c r="O212" s="129">
        <f t="shared" si="38"/>
        <v>14</v>
      </c>
      <c r="P212" s="128">
        <f>MIN(F212:O212)</f>
        <v>6</v>
      </c>
      <c r="Q212" s="128">
        <f>E212-P212</f>
        <v>126</v>
      </c>
      <c r="R212" s="72">
        <f>Q212/E212</f>
        <v>0.95454545454545459</v>
      </c>
      <c r="T212" s="182"/>
      <c r="U212" s="182"/>
      <c r="V212" s="1"/>
      <c r="W212" s="1"/>
      <c r="X212" s="1"/>
    </row>
    <row r="213" spans="2:24" ht="9.75" customHeight="1" x14ac:dyDescent="0.4">
      <c r="C213" s="15" t="s">
        <v>168</v>
      </c>
      <c r="D213" s="15" t="s">
        <v>300</v>
      </c>
      <c r="E213" s="17"/>
      <c r="F213" s="32"/>
      <c r="G213" s="6"/>
      <c r="H213" s="6"/>
      <c r="I213" s="6"/>
      <c r="J213" s="6"/>
      <c r="K213" s="6"/>
      <c r="L213" s="6"/>
      <c r="M213" s="6"/>
      <c r="N213" s="6"/>
      <c r="O213" s="31"/>
      <c r="P213" s="73"/>
      <c r="Q213" s="108"/>
      <c r="R213" s="188"/>
      <c r="T213" s="182"/>
      <c r="U213" s="182"/>
      <c r="V213" s="1"/>
      <c r="W213" s="1"/>
      <c r="X213" s="1"/>
    </row>
    <row r="214" spans="2:24" ht="9.75" customHeight="1" x14ac:dyDescent="0.4">
      <c r="C214" s="17"/>
      <c r="D214" s="17" t="s">
        <v>301</v>
      </c>
      <c r="E214" s="17"/>
      <c r="F214" s="32"/>
      <c r="G214" s="6"/>
      <c r="H214" s="6"/>
      <c r="I214" s="6"/>
      <c r="J214" s="6"/>
      <c r="K214" s="6"/>
      <c r="L214" s="6"/>
      <c r="M214" s="6"/>
      <c r="N214" s="6"/>
      <c r="O214" s="31"/>
      <c r="P214" s="32"/>
      <c r="Q214" s="6"/>
      <c r="R214" s="59"/>
      <c r="T214" s="182"/>
      <c r="U214" s="182"/>
      <c r="V214" s="1"/>
      <c r="W214" s="1"/>
      <c r="X214" s="1"/>
    </row>
    <row r="215" spans="2:24" ht="9.75" customHeight="1" x14ac:dyDescent="0.4">
      <c r="C215" s="17"/>
      <c r="D215" s="17" t="s">
        <v>303</v>
      </c>
      <c r="E215" s="17"/>
      <c r="F215" s="32"/>
      <c r="G215" s="6"/>
      <c r="H215" s="6"/>
      <c r="I215" s="6"/>
      <c r="J215" s="6"/>
      <c r="K215" s="6"/>
      <c r="L215" s="6"/>
      <c r="M215" s="6"/>
      <c r="N215" s="6"/>
      <c r="O215" s="31"/>
      <c r="P215" s="32"/>
      <c r="Q215" s="6"/>
      <c r="R215" s="59"/>
      <c r="T215" s="182"/>
      <c r="U215" s="182"/>
      <c r="V215" s="1"/>
      <c r="W215" s="1"/>
      <c r="X215" s="1"/>
    </row>
    <row r="216" spans="2:24" ht="9.75" customHeight="1" x14ac:dyDescent="0.4">
      <c r="C216" s="17"/>
      <c r="D216" s="17" t="s">
        <v>409</v>
      </c>
      <c r="E216" s="17">
        <v>128</v>
      </c>
      <c r="F216" s="32">
        <v>10</v>
      </c>
      <c r="G216" s="6">
        <v>0</v>
      </c>
      <c r="H216" s="6">
        <v>0</v>
      </c>
      <c r="I216" s="6">
        <v>2</v>
      </c>
      <c r="J216" s="6">
        <v>2</v>
      </c>
      <c r="K216" s="6">
        <v>0</v>
      </c>
      <c r="L216" s="6">
        <v>0</v>
      </c>
      <c r="M216" s="6">
        <v>0</v>
      </c>
      <c r="N216" s="6">
        <v>6</v>
      </c>
      <c r="O216" s="31">
        <v>20</v>
      </c>
      <c r="P216" s="32">
        <f>MIN(F216:O216)</f>
        <v>0</v>
      </c>
      <c r="Q216" s="6">
        <f>E216-P216</f>
        <v>128</v>
      </c>
      <c r="R216" s="59">
        <f>Q216/E216</f>
        <v>1</v>
      </c>
      <c r="T216" s="182"/>
      <c r="U216" s="182"/>
      <c r="V216" s="1"/>
      <c r="W216" s="1"/>
      <c r="X216" s="1"/>
    </row>
    <row r="217" spans="2:24" ht="9.75" customHeight="1" x14ac:dyDescent="0.4">
      <c r="C217" s="17"/>
      <c r="D217" s="17" t="s">
        <v>369</v>
      </c>
      <c r="E217" s="17"/>
      <c r="F217" s="32"/>
      <c r="G217" s="6"/>
      <c r="H217" s="6"/>
      <c r="I217" s="6"/>
      <c r="J217" s="6"/>
      <c r="K217" s="6"/>
      <c r="L217" s="6"/>
      <c r="M217" s="6"/>
      <c r="N217" s="6"/>
      <c r="O217" s="31"/>
      <c r="P217" s="32"/>
      <c r="Q217" s="6"/>
      <c r="R217" s="59"/>
      <c r="T217" s="182"/>
      <c r="U217" s="182"/>
      <c r="V217" s="1"/>
      <c r="W217" s="1"/>
      <c r="X217" s="1"/>
    </row>
    <row r="218" spans="2:24" ht="9.75" customHeight="1" x14ac:dyDescent="0.4">
      <c r="C218" s="17"/>
      <c r="D218" s="17" t="s">
        <v>308</v>
      </c>
      <c r="E218" s="17"/>
      <c r="F218" s="32"/>
      <c r="G218" s="6"/>
      <c r="H218" s="6"/>
      <c r="I218" s="6"/>
      <c r="J218" s="6"/>
      <c r="K218" s="6"/>
      <c r="L218" s="6"/>
      <c r="M218" s="6"/>
      <c r="N218" s="6"/>
      <c r="O218" s="31"/>
      <c r="P218" s="32"/>
      <c r="Q218" s="6"/>
      <c r="R218" s="59"/>
      <c r="T218" s="182"/>
      <c r="U218" s="182"/>
      <c r="V218" s="1"/>
      <c r="W218" s="1"/>
      <c r="X218" s="1"/>
    </row>
    <row r="219" spans="2:24" ht="9.75" customHeight="1" x14ac:dyDescent="0.4">
      <c r="C219" s="17"/>
      <c r="D219" s="17" t="s">
        <v>374</v>
      </c>
      <c r="E219" s="17"/>
      <c r="F219" s="32"/>
      <c r="G219" s="6"/>
      <c r="H219" s="6"/>
      <c r="I219" s="6"/>
      <c r="J219" s="6"/>
      <c r="K219" s="6"/>
      <c r="L219" s="6"/>
      <c r="M219" s="6"/>
      <c r="N219" s="6"/>
      <c r="O219" s="31"/>
      <c r="P219" s="32"/>
      <c r="Q219" s="6"/>
      <c r="R219" s="59"/>
      <c r="T219" s="182"/>
      <c r="U219" s="182"/>
      <c r="V219" s="1"/>
      <c r="W219" s="1"/>
      <c r="X219" s="1"/>
    </row>
    <row r="220" spans="2:24" ht="9.75" customHeight="1" x14ac:dyDescent="0.4">
      <c r="C220" s="17"/>
      <c r="D220" s="17" t="s">
        <v>374</v>
      </c>
      <c r="E220" s="17"/>
      <c r="F220" s="32"/>
      <c r="G220" s="6"/>
      <c r="H220" s="6"/>
      <c r="I220" s="6"/>
      <c r="J220" s="6"/>
      <c r="K220" s="6"/>
      <c r="L220" s="6"/>
      <c r="M220" s="6"/>
      <c r="N220" s="6"/>
      <c r="O220" s="31"/>
      <c r="P220" s="32"/>
      <c r="Q220" s="6"/>
      <c r="R220" s="59"/>
      <c r="T220" s="182"/>
      <c r="U220" s="182"/>
      <c r="V220" s="1"/>
      <c r="W220" s="1"/>
      <c r="X220" s="1"/>
    </row>
    <row r="221" spans="2:24" ht="9.75" customHeight="1" x14ac:dyDescent="0.4">
      <c r="C221" s="17"/>
      <c r="D221" s="17" t="s">
        <v>374</v>
      </c>
      <c r="E221" s="17"/>
      <c r="F221" s="32"/>
      <c r="G221" s="6"/>
      <c r="H221" s="6"/>
      <c r="I221" s="6"/>
      <c r="J221" s="6"/>
      <c r="K221" s="6"/>
      <c r="L221" s="6"/>
      <c r="M221" s="6"/>
      <c r="N221" s="6"/>
      <c r="O221" s="31"/>
      <c r="P221" s="32"/>
      <c r="Q221" s="6"/>
      <c r="R221" s="59"/>
      <c r="T221" s="182"/>
      <c r="U221" s="182"/>
      <c r="V221" s="1"/>
      <c r="W221" s="1"/>
      <c r="X221" s="1"/>
    </row>
    <row r="222" spans="2:24" ht="9.75" customHeight="1" x14ac:dyDescent="0.4">
      <c r="C222" s="17"/>
      <c r="D222" s="17" t="s">
        <v>374</v>
      </c>
      <c r="E222" s="17"/>
      <c r="F222" s="32"/>
      <c r="G222" s="6"/>
      <c r="H222" s="6"/>
      <c r="I222" s="6"/>
      <c r="J222" s="6"/>
      <c r="K222" s="6"/>
      <c r="L222" s="6"/>
      <c r="M222" s="6"/>
      <c r="N222" s="6"/>
      <c r="O222" s="31"/>
      <c r="P222" s="32"/>
      <c r="Q222" s="6"/>
      <c r="R222" s="59"/>
      <c r="T222" s="182"/>
      <c r="U222" s="182"/>
      <c r="V222" s="1"/>
      <c r="W222" s="1"/>
      <c r="X222" s="1"/>
    </row>
    <row r="223" spans="2:24" ht="9.75" customHeight="1" x14ac:dyDescent="0.4">
      <c r="C223" s="17"/>
      <c r="D223" s="17" t="s">
        <v>374</v>
      </c>
      <c r="E223" s="17"/>
      <c r="F223" s="32"/>
      <c r="G223" s="6"/>
      <c r="H223" s="6"/>
      <c r="I223" s="6"/>
      <c r="J223" s="6"/>
      <c r="K223" s="6"/>
      <c r="L223" s="6"/>
      <c r="M223" s="6"/>
      <c r="N223" s="6"/>
      <c r="O223" s="31"/>
      <c r="P223" s="32"/>
      <c r="Q223" s="6"/>
      <c r="R223" s="59"/>
      <c r="T223" s="182"/>
      <c r="U223" s="182"/>
      <c r="V223" s="1"/>
      <c r="W223" s="1"/>
      <c r="X223" s="1"/>
    </row>
    <row r="224" spans="2:24" ht="9.75" customHeight="1" x14ac:dyDescent="0.4">
      <c r="C224" s="17"/>
      <c r="D224" s="17" t="s">
        <v>374</v>
      </c>
      <c r="E224" s="17"/>
      <c r="F224" s="32"/>
      <c r="G224" s="6"/>
      <c r="H224" s="6"/>
      <c r="I224" s="6"/>
      <c r="J224" s="6"/>
      <c r="K224" s="6"/>
      <c r="L224" s="6"/>
      <c r="M224" s="6"/>
      <c r="N224" s="6"/>
      <c r="O224" s="31"/>
      <c r="P224" s="32"/>
      <c r="Q224" s="6"/>
      <c r="R224" s="59"/>
      <c r="T224" s="182"/>
      <c r="U224" s="182"/>
      <c r="V224" s="1"/>
      <c r="W224" s="1"/>
      <c r="X224" s="1"/>
    </row>
    <row r="225" spans="2:24" ht="9.75" customHeight="1" x14ac:dyDescent="0.4">
      <c r="C225" s="17"/>
      <c r="D225" s="17" t="s">
        <v>310</v>
      </c>
      <c r="E225" s="17">
        <v>36</v>
      </c>
      <c r="F225" s="32">
        <v>22</v>
      </c>
      <c r="G225" s="6">
        <v>5</v>
      </c>
      <c r="H225" s="6">
        <v>6</v>
      </c>
      <c r="I225" s="6">
        <v>4</v>
      </c>
      <c r="J225" s="6">
        <v>3</v>
      </c>
      <c r="K225" s="6">
        <v>2</v>
      </c>
      <c r="L225" s="6">
        <v>3</v>
      </c>
      <c r="M225" s="6">
        <v>8</v>
      </c>
      <c r="N225" s="6">
        <v>14</v>
      </c>
      <c r="O225" s="31">
        <v>13</v>
      </c>
      <c r="P225" s="32">
        <f>MIN(F225:O225)</f>
        <v>2</v>
      </c>
      <c r="Q225" s="6">
        <f>E225-P225</f>
        <v>34</v>
      </c>
      <c r="R225" s="59">
        <f>Q225/E225</f>
        <v>0.94444444444444442</v>
      </c>
      <c r="T225" s="182"/>
      <c r="U225" s="182"/>
      <c r="V225" s="1"/>
      <c r="W225" s="1"/>
      <c r="X225" s="1"/>
    </row>
    <row r="226" spans="2:24" ht="9.75" customHeight="1" x14ac:dyDescent="0.4">
      <c r="C226" s="17"/>
      <c r="D226" s="17" t="s">
        <v>311</v>
      </c>
      <c r="E226" s="17"/>
      <c r="F226" s="32"/>
      <c r="G226" s="6"/>
      <c r="H226" s="6"/>
      <c r="I226" s="6"/>
      <c r="J226" s="6"/>
      <c r="K226" s="6"/>
      <c r="L226" s="6"/>
      <c r="M226" s="6"/>
      <c r="N226" s="6"/>
      <c r="O226" s="31"/>
      <c r="P226" s="32"/>
      <c r="Q226" s="6"/>
      <c r="R226" s="59"/>
      <c r="T226" s="182"/>
      <c r="U226" s="182"/>
      <c r="V226" s="1"/>
      <c r="W226" s="1"/>
      <c r="X226" s="1"/>
    </row>
    <row r="227" spans="2:24" ht="9.75" customHeight="1" x14ac:dyDescent="0.4">
      <c r="C227" s="17"/>
      <c r="D227" s="17" t="s">
        <v>312</v>
      </c>
      <c r="E227" s="17"/>
      <c r="F227" s="32"/>
      <c r="G227" s="6"/>
      <c r="H227" s="6"/>
      <c r="I227" s="6"/>
      <c r="J227" s="6"/>
      <c r="K227" s="6"/>
      <c r="L227" s="6"/>
      <c r="M227" s="6"/>
      <c r="N227" s="6"/>
      <c r="O227" s="31"/>
      <c r="P227" s="32"/>
      <c r="Q227" s="6"/>
      <c r="R227" s="59"/>
      <c r="T227" s="182"/>
      <c r="U227" s="182"/>
      <c r="V227" s="1"/>
      <c r="W227" s="1"/>
      <c r="X227" s="1"/>
    </row>
    <row r="228" spans="2:24" ht="9.75" customHeight="1" x14ac:dyDescent="0.4">
      <c r="C228" s="17"/>
      <c r="D228" s="17" t="s">
        <v>313</v>
      </c>
      <c r="E228" s="17"/>
      <c r="F228" s="32"/>
      <c r="G228" s="6"/>
      <c r="H228" s="6"/>
      <c r="I228" s="6"/>
      <c r="J228" s="6"/>
      <c r="K228" s="6"/>
      <c r="L228" s="6"/>
      <c r="M228" s="6"/>
      <c r="N228" s="6"/>
      <c r="O228" s="31"/>
      <c r="P228" s="32"/>
      <c r="Q228" s="6"/>
      <c r="R228" s="59"/>
      <c r="T228" s="182"/>
      <c r="U228" s="182"/>
      <c r="V228" s="1"/>
      <c r="W228" s="1"/>
      <c r="X228" s="1"/>
    </row>
    <row r="229" spans="2:24" ht="9.75" customHeight="1" x14ac:dyDescent="0.4">
      <c r="B229" s="219" t="s">
        <v>395</v>
      </c>
      <c r="C229" s="34"/>
      <c r="D229" s="104" t="s">
        <v>314</v>
      </c>
      <c r="E229" s="104">
        <f t="shared" ref="E229:O229" si="39">SUM(E213:E228)</f>
        <v>164</v>
      </c>
      <c r="F229" s="104">
        <f t="shared" si="39"/>
        <v>32</v>
      </c>
      <c r="G229" s="128">
        <f t="shared" si="39"/>
        <v>5</v>
      </c>
      <c r="H229" s="128">
        <f t="shared" si="39"/>
        <v>6</v>
      </c>
      <c r="I229" s="128">
        <f t="shared" si="39"/>
        <v>6</v>
      </c>
      <c r="J229" s="128">
        <f t="shared" si="39"/>
        <v>5</v>
      </c>
      <c r="K229" s="128">
        <f t="shared" si="39"/>
        <v>2</v>
      </c>
      <c r="L229" s="128">
        <f t="shared" si="39"/>
        <v>3</v>
      </c>
      <c r="M229" s="128">
        <f t="shared" si="39"/>
        <v>8</v>
      </c>
      <c r="N229" s="128">
        <f t="shared" si="39"/>
        <v>20</v>
      </c>
      <c r="O229" s="129">
        <f t="shared" si="39"/>
        <v>33</v>
      </c>
      <c r="P229" s="128">
        <f t="shared" ref="P229:P230" si="40">MIN(F229:O229)</f>
        <v>2</v>
      </c>
      <c r="Q229" s="128">
        <f t="shared" ref="Q229:Q230" si="41">E229-P229</f>
        <v>162</v>
      </c>
      <c r="R229" s="72">
        <f t="shared" ref="R229:R230" si="42">Q229/E229</f>
        <v>0.98780487804878048</v>
      </c>
      <c r="T229" s="182"/>
      <c r="U229" s="182"/>
      <c r="V229" s="1"/>
      <c r="W229" s="1"/>
      <c r="X229" s="1"/>
    </row>
    <row r="230" spans="2:24" ht="9.75" customHeight="1" x14ac:dyDescent="0.4">
      <c r="C230" s="15" t="s">
        <v>180</v>
      </c>
      <c r="D230" s="15" t="s">
        <v>300</v>
      </c>
      <c r="E230" s="17">
        <v>4</v>
      </c>
      <c r="F230" s="32">
        <v>3</v>
      </c>
      <c r="G230" s="6">
        <v>1</v>
      </c>
      <c r="H230" s="6">
        <v>0</v>
      </c>
      <c r="I230" s="6">
        <v>0</v>
      </c>
      <c r="J230" s="6">
        <v>2</v>
      </c>
      <c r="K230" s="6">
        <v>0</v>
      </c>
      <c r="L230" s="6">
        <v>1</v>
      </c>
      <c r="M230" s="6">
        <v>1</v>
      </c>
      <c r="N230" s="6">
        <v>2</v>
      </c>
      <c r="O230" s="31">
        <v>2</v>
      </c>
      <c r="P230" s="32">
        <f t="shared" si="40"/>
        <v>0</v>
      </c>
      <c r="Q230" s="6">
        <f t="shared" si="41"/>
        <v>4</v>
      </c>
      <c r="R230" s="59">
        <f t="shared" si="42"/>
        <v>1</v>
      </c>
      <c r="T230" s="182"/>
      <c r="U230" s="182"/>
      <c r="V230" s="1"/>
      <c r="W230" s="1"/>
      <c r="X230" s="1"/>
    </row>
    <row r="231" spans="2:24" ht="9.75" customHeight="1" x14ac:dyDescent="0.4">
      <c r="C231" s="17"/>
      <c r="D231" s="17" t="s">
        <v>301</v>
      </c>
      <c r="E231" s="17"/>
      <c r="F231" s="32"/>
      <c r="G231" s="6"/>
      <c r="H231" s="6"/>
      <c r="I231" s="6"/>
      <c r="J231" s="6"/>
      <c r="K231" s="6"/>
      <c r="L231" s="6"/>
      <c r="M231" s="6"/>
      <c r="N231" s="6"/>
      <c r="O231" s="31"/>
      <c r="P231" s="32"/>
      <c r="Q231" s="6"/>
      <c r="R231" s="59"/>
      <c r="T231" s="182"/>
      <c r="U231" s="182"/>
      <c r="V231" s="1"/>
      <c r="W231" s="1"/>
      <c r="X231" s="1"/>
    </row>
    <row r="232" spans="2:24" ht="9.75" customHeight="1" x14ac:dyDescent="0.4">
      <c r="C232" s="17"/>
      <c r="D232" s="17" t="s">
        <v>303</v>
      </c>
      <c r="E232" s="17"/>
      <c r="F232" s="32"/>
      <c r="G232" s="6"/>
      <c r="H232" s="6"/>
      <c r="I232" s="6"/>
      <c r="J232" s="6"/>
      <c r="K232" s="6"/>
      <c r="L232" s="6"/>
      <c r="M232" s="6"/>
      <c r="N232" s="6"/>
      <c r="O232" s="31"/>
      <c r="P232" s="32"/>
      <c r="Q232" s="6"/>
      <c r="R232" s="59"/>
      <c r="T232" s="182"/>
      <c r="U232" s="182"/>
      <c r="V232" s="1"/>
      <c r="W232" s="1"/>
      <c r="X232" s="1"/>
    </row>
    <row r="233" spans="2:24" ht="9.75" customHeight="1" x14ac:dyDescent="0.4">
      <c r="C233" s="17"/>
      <c r="D233" s="17" t="s">
        <v>409</v>
      </c>
      <c r="E233" s="17">
        <v>64</v>
      </c>
      <c r="F233" s="32">
        <v>25</v>
      </c>
      <c r="G233" s="6">
        <v>12</v>
      </c>
      <c r="H233" s="6">
        <v>6</v>
      </c>
      <c r="I233" s="6">
        <v>5</v>
      </c>
      <c r="J233" s="6">
        <v>8</v>
      </c>
      <c r="K233" s="6">
        <v>5</v>
      </c>
      <c r="L233" s="6">
        <v>9</v>
      </c>
      <c r="M233" s="6">
        <v>11</v>
      </c>
      <c r="N233" s="6">
        <v>27</v>
      </c>
      <c r="O233" s="31">
        <v>30</v>
      </c>
      <c r="P233" s="32">
        <f>MIN(F233:O233)</f>
        <v>5</v>
      </c>
      <c r="Q233" s="6">
        <f>E233-P233</f>
        <v>59</v>
      </c>
      <c r="R233" s="59">
        <f>Q233/E233</f>
        <v>0.921875</v>
      </c>
      <c r="T233" s="182"/>
      <c r="U233" s="182"/>
      <c r="V233" s="1"/>
      <c r="W233" s="1"/>
      <c r="X233" s="1"/>
    </row>
    <row r="234" spans="2:24" ht="9.75" customHeight="1" x14ac:dyDescent="0.4">
      <c r="C234" s="17"/>
      <c r="D234" s="17" t="s">
        <v>369</v>
      </c>
      <c r="E234" s="17"/>
      <c r="F234" s="32"/>
      <c r="G234" s="6"/>
      <c r="H234" s="6"/>
      <c r="I234" s="6"/>
      <c r="J234" s="6"/>
      <c r="K234" s="6"/>
      <c r="L234" s="6"/>
      <c r="M234" s="6"/>
      <c r="N234" s="6"/>
      <c r="O234" s="31"/>
      <c r="P234" s="32"/>
      <c r="Q234" s="6"/>
      <c r="R234" s="59"/>
      <c r="T234" s="182"/>
      <c r="U234" s="182"/>
      <c r="V234" s="1"/>
      <c r="W234" s="1"/>
      <c r="X234" s="1"/>
    </row>
    <row r="235" spans="2:24" ht="9.75" customHeight="1" x14ac:dyDescent="0.4">
      <c r="C235" s="17"/>
      <c r="D235" s="17" t="s">
        <v>308</v>
      </c>
      <c r="E235" s="17"/>
      <c r="F235" s="32"/>
      <c r="G235" s="6"/>
      <c r="H235" s="6"/>
      <c r="I235" s="6"/>
      <c r="J235" s="6"/>
      <c r="K235" s="6"/>
      <c r="L235" s="6"/>
      <c r="M235" s="6"/>
      <c r="N235" s="6"/>
      <c r="O235" s="31"/>
      <c r="P235" s="32"/>
      <c r="Q235" s="6"/>
      <c r="R235" s="59"/>
      <c r="T235" s="182"/>
      <c r="U235" s="182"/>
      <c r="V235" s="1"/>
      <c r="W235" s="1"/>
      <c r="X235" s="1"/>
    </row>
    <row r="236" spans="2:24" ht="9.75" customHeight="1" x14ac:dyDescent="0.4">
      <c r="C236" s="17"/>
      <c r="D236" s="17" t="s">
        <v>372</v>
      </c>
      <c r="E236" s="17">
        <v>16</v>
      </c>
      <c r="F236" s="32">
        <v>10</v>
      </c>
      <c r="G236" s="6">
        <v>10</v>
      </c>
      <c r="H236" s="6">
        <v>11</v>
      </c>
      <c r="I236" s="6">
        <v>11</v>
      </c>
      <c r="J236" s="6">
        <v>9</v>
      </c>
      <c r="K236" s="6">
        <v>8</v>
      </c>
      <c r="L236" s="6">
        <v>7</v>
      </c>
      <c r="M236" s="6">
        <v>6</v>
      </c>
      <c r="N236" s="6">
        <v>8</v>
      </c>
      <c r="O236" s="31">
        <v>7</v>
      </c>
      <c r="P236" s="32">
        <f t="shared" ref="P236:P237" si="43">MIN(F236:O236)</f>
        <v>6</v>
      </c>
      <c r="Q236" s="6">
        <f t="shared" ref="Q236:Q237" si="44">E236-P236</f>
        <v>10</v>
      </c>
      <c r="R236" s="59">
        <f t="shared" ref="R236:R237" si="45">Q236/E236</f>
        <v>0.625</v>
      </c>
      <c r="T236" s="182"/>
      <c r="U236" s="182"/>
      <c r="V236" s="1"/>
      <c r="W236" s="1"/>
      <c r="X236" s="1"/>
    </row>
    <row r="237" spans="2:24" ht="9.75" customHeight="1" x14ac:dyDescent="0.4">
      <c r="C237" s="17"/>
      <c r="D237" s="17" t="s">
        <v>496</v>
      </c>
      <c r="E237" s="17">
        <v>7</v>
      </c>
      <c r="F237" s="32">
        <v>7</v>
      </c>
      <c r="G237" s="6">
        <v>7</v>
      </c>
      <c r="H237" s="6">
        <v>5</v>
      </c>
      <c r="I237" s="6">
        <v>5</v>
      </c>
      <c r="J237" s="6">
        <v>3</v>
      </c>
      <c r="K237" s="6">
        <v>4</v>
      </c>
      <c r="L237" s="6">
        <v>6</v>
      </c>
      <c r="M237" s="6">
        <v>5</v>
      </c>
      <c r="N237" s="6">
        <v>7</v>
      </c>
      <c r="O237" s="31">
        <v>7</v>
      </c>
      <c r="P237" s="32">
        <f t="shared" si="43"/>
        <v>3</v>
      </c>
      <c r="Q237" s="6">
        <f t="shared" si="44"/>
        <v>4</v>
      </c>
      <c r="R237" s="59">
        <f t="shared" si="45"/>
        <v>0.5714285714285714</v>
      </c>
      <c r="T237" s="182"/>
      <c r="U237" s="182"/>
      <c r="V237" s="1"/>
      <c r="W237" s="1"/>
      <c r="X237" s="1"/>
    </row>
    <row r="238" spans="2:24" ht="9.75" customHeight="1" x14ac:dyDescent="0.4">
      <c r="C238" s="17"/>
      <c r="D238" s="17" t="s">
        <v>374</v>
      </c>
      <c r="E238" s="17"/>
      <c r="F238" s="32"/>
      <c r="G238" s="6"/>
      <c r="H238" s="6"/>
      <c r="I238" s="6"/>
      <c r="J238" s="6"/>
      <c r="K238" s="6"/>
      <c r="L238" s="6"/>
      <c r="M238" s="6"/>
      <c r="N238" s="6"/>
      <c r="O238" s="31"/>
      <c r="P238" s="32"/>
      <c r="Q238" s="6"/>
      <c r="R238" s="59"/>
      <c r="T238" s="182"/>
      <c r="U238" s="182"/>
      <c r="V238" s="1"/>
      <c r="W238" s="1"/>
      <c r="X238" s="1"/>
    </row>
    <row r="239" spans="2:24" ht="9.75" customHeight="1" x14ac:dyDescent="0.4">
      <c r="C239" s="17"/>
      <c r="D239" s="17" t="s">
        <v>374</v>
      </c>
      <c r="E239" s="17"/>
      <c r="F239" s="32"/>
      <c r="G239" s="6"/>
      <c r="H239" s="6"/>
      <c r="I239" s="6"/>
      <c r="J239" s="6"/>
      <c r="K239" s="6"/>
      <c r="L239" s="6"/>
      <c r="M239" s="6"/>
      <c r="N239" s="6"/>
      <c r="O239" s="31"/>
      <c r="P239" s="32"/>
      <c r="Q239" s="6"/>
      <c r="R239" s="59"/>
      <c r="T239" s="182"/>
      <c r="U239" s="182"/>
      <c r="V239" s="1"/>
      <c r="W239" s="1"/>
      <c r="X239" s="1"/>
    </row>
    <row r="240" spans="2:24" ht="9.75" customHeight="1" x14ac:dyDescent="0.4">
      <c r="C240" s="17"/>
      <c r="D240" s="17" t="s">
        <v>374</v>
      </c>
      <c r="E240" s="17"/>
      <c r="F240" s="32"/>
      <c r="G240" s="6"/>
      <c r="H240" s="6"/>
      <c r="I240" s="6"/>
      <c r="J240" s="6"/>
      <c r="K240" s="6"/>
      <c r="L240" s="6"/>
      <c r="M240" s="6"/>
      <c r="N240" s="6"/>
      <c r="O240" s="31"/>
      <c r="P240" s="32"/>
      <c r="Q240" s="6"/>
      <c r="R240" s="59"/>
      <c r="T240" s="182"/>
      <c r="U240" s="182"/>
      <c r="V240" s="1"/>
      <c r="W240" s="1"/>
      <c r="X240" s="1"/>
    </row>
    <row r="241" spans="2:24" ht="9.75" customHeight="1" x14ac:dyDescent="0.4">
      <c r="C241" s="17"/>
      <c r="D241" s="17" t="s">
        <v>374</v>
      </c>
      <c r="E241" s="17"/>
      <c r="F241" s="32"/>
      <c r="G241" s="6"/>
      <c r="H241" s="6"/>
      <c r="I241" s="6"/>
      <c r="J241" s="6"/>
      <c r="K241" s="6"/>
      <c r="L241" s="6"/>
      <c r="M241" s="6"/>
      <c r="N241" s="6"/>
      <c r="O241" s="31"/>
      <c r="P241" s="32"/>
      <c r="Q241" s="6"/>
      <c r="R241" s="59"/>
      <c r="T241" s="182"/>
      <c r="U241" s="182"/>
      <c r="V241" s="1"/>
      <c r="W241" s="1"/>
      <c r="X241" s="1"/>
    </row>
    <row r="242" spans="2:24" ht="9.75" customHeight="1" x14ac:dyDescent="0.4">
      <c r="C242" s="17"/>
      <c r="D242" s="17" t="s">
        <v>310</v>
      </c>
      <c r="E242" s="17">
        <v>54</v>
      </c>
      <c r="F242" s="32">
        <v>40</v>
      </c>
      <c r="G242" s="6">
        <v>36</v>
      </c>
      <c r="H242" s="6">
        <v>7</v>
      </c>
      <c r="I242" s="6">
        <v>6</v>
      </c>
      <c r="J242" s="6">
        <v>48</v>
      </c>
      <c r="K242" s="6">
        <v>8</v>
      </c>
      <c r="L242" s="6">
        <v>14</v>
      </c>
      <c r="M242" s="6">
        <v>18</v>
      </c>
      <c r="N242" s="6">
        <v>28</v>
      </c>
      <c r="O242" s="31">
        <v>30</v>
      </c>
      <c r="P242" s="32">
        <f>MIN(F242:O242)</f>
        <v>6</v>
      </c>
      <c r="Q242" s="6">
        <f>E242-P242</f>
        <v>48</v>
      </c>
      <c r="R242" s="59">
        <f>Q242/E242</f>
        <v>0.88888888888888884</v>
      </c>
      <c r="T242" s="182"/>
      <c r="U242" s="182"/>
      <c r="V242" s="1"/>
      <c r="W242" s="1"/>
      <c r="X242" s="1"/>
    </row>
    <row r="243" spans="2:24" ht="9.75" customHeight="1" x14ac:dyDescent="0.4">
      <c r="C243" s="17"/>
      <c r="D243" s="17" t="s">
        <v>311</v>
      </c>
      <c r="E243" s="17"/>
      <c r="F243" s="32"/>
      <c r="G243" s="6"/>
      <c r="H243" s="6"/>
      <c r="I243" s="6"/>
      <c r="J243" s="6"/>
      <c r="K243" s="6"/>
      <c r="L243" s="6"/>
      <c r="M243" s="6"/>
      <c r="N243" s="6"/>
      <c r="O243" s="31"/>
      <c r="P243" s="32"/>
      <c r="Q243" s="6"/>
      <c r="R243" s="59"/>
      <c r="T243" s="182"/>
      <c r="U243" s="182"/>
      <c r="V243" s="1"/>
      <c r="W243" s="1"/>
      <c r="X243" s="1"/>
    </row>
    <row r="244" spans="2:24" ht="9.75" customHeight="1" x14ac:dyDescent="0.4">
      <c r="C244" s="17"/>
      <c r="D244" s="17" t="s">
        <v>312</v>
      </c>
      <c r="E244" s="17"/>
      <c r="F244" s="32"/>
      <c r="G244" s="6"/>
      <c r="H244" s="6"/>
      <c r="I244" s="6"/>
      <c r="J244" s="6"/>
      <c r="K244" s="6"/>
      <c r="L244" s="6"/>
      <c r="M244" s="6"/>
      <c r="N244" s="6"/>
      <c r="O244" s="31"/>
      <c r="P244" s="32"/>
      <c r="Q244" s="6"/>
      <c r="R244" s="59"/>
      <c r="T244" s="182"/>
      <c r="U244" s="182"/>
      <c r="V244" s="1"/>
      <c r="W244" s="1"/>
      <c r="X244" s="1"/>
    </row>
    <row r="245" spans="2:24" ht="9.75" customHeight="1" x14ac:dyDescent="0.4">
      <c r="C245" s="17"/>
      <c r="D245" s="17" t="s">
        <v>313</v>
      </c>
      <c r="E245" s="17"/>
      <c r="F245" s="32"/>
      <c r="G245" s="6"/>
      <c r="H245" s="6"/>
      <c r="I245" s="6"/>
      <c r="J245" s="6"/>
      <c r="K245" s="6"/>
      <c r="L245" s="6"/>
      <c r="M245" s="6"/>
      <c r="N245" s="6"/>
      <c r="O245" s="31"/>
      <c r="P245" s="32"/>
      <c r="Q245" s="6"/>
      <c r="R245" s="59"/>
      <c r="T245" s="182"/>
      <c r="U245" s="182"/>
      <c r="V245" s="1"/>
      <c r="W245" s="1"/>
      <c r="X245" s="1"/>
    </row>
    <row r="246" spans="2:24" ht="9.75" customHeight="1" x14ac:dyDescent="0.4">
      <c r="B246" s="219" t="s">
        <v>395</v>
      </c>
      <c r="C246" s="34"/>
      <c r="D246" s="104" t="s">
        <v>314</v>
      </c>
      <c r="E246" s="104">
        <f t="shared" ref="E246:O246" si="46">SUM(E230:E245)</f>
        <v>145</v>
      </c>
      <c r="F246" s="104">
        <f t="shared" si="46"/>
        <v>85</v>
      </c>
      <c r="G246" s="128">
        <f t="shared" si="46"/>
        <v>66</v>
      </c>
      <c r="H246" s="128">
        <f t="shared" si="46"/>
        <v>29</v>
      </c>
      <c r="I246" s="128">
        <f t="shared" si="46"/>
        <v>27</v>
      </c>
      <c r="J246" s="128">
        <f t="shared" si="46"/>
        <v>70</v>
      </c>
      <c r="K246" s="128">
        <f t="shared" si="46"/>
        <v>25</v>
      </c>
      <c r="L246" s="128">
        <f t="shared" si="46"/>
        <v>37</v>
      </c>
      <c r="M246" s="128">
        <f t="shared" si="46"/>
        <v>41</v>
      </c>
      <c r="N246" s="128">
        <f t="shared" si="46"/>
        <v>72</v>
      </c>
      <c r="O246" s="129">
        <f t="shared" si="46"/>
        <v>76</v>
      </c>
      <c r="P246" s="128">
        <f t="shared" ref="P246:P247" si="47">MIN(F246:O246)</f>
        <v>25</v>
      </c>
      <c r="Q246" s="128">
        <f t="shared" ref="Q246:Q247" si="48">E246-P246</f>
        <v>120</v>
      </c>
      <c r="R246" s="72">
        <f t="shared" ref="R246:R247" si="49">Q246/E246</f>
        <v>0.82758620689655171</v>
      </c>
      <c r="T246" s="182"/>
      <c r="U246" s="182"/>
      <c r="V246" s="1"/>
      <c r="W246" s="1"/>
      <c r="X246" s="1"/>
    </row>
    <row r="247" spans="2:24" ht="9.75" customHeight="1" x14ac:dyDescent="0.4">
      <c r="C247" s="15" t="s">
        <v>190</v>
      </c>
      <c r="D247" s="15" t="s">
        <v>300</v>
      </c>
      <c r="E247" s="17">
        <v>9</v>
      </c>
      <c r="F247" s="32">
        <v>0</v>
      </c>
      <c r="G247" s="6">
        <v>0</v>
      </c>
      <c r="H247" s="6">
        <v>0</v>
      </c>
      <c r="I247" s="6">
        <v>0</v>
      </c>
      <c r="J247" s="6">
        <v>1</v>
      </c>
      <c r="K247" s="6">
        <v>1</v>
      </c>
      <c r="L247" s="6">
        <v>0</v>
      </c>
      <c r="M247" s="6">
        <v>0</v>
      </c>
      <c r="N247" s="6">
        <v>1</v>
      </c>
      <c r="O247" s="31">
        <v>1</v>
      </c>
      <c r="P247" s="32">
        <f t="shared" si="47"/>
        <v>0</v>
      </c>
      <c r="Q247" s="6">
        <f t="shared" si="48"/>
        <v>9</v>
      </c>
      <c r="R247" s="59">
        <f t="shared" si="49"/>
        <v>1</v>
      </c>
      <c r="T247" s="182"/>
      <c r="U247" s="182"/>
      <c r="V247" s="1"/>
      <c r="W247" s="1"/>
      <c r="X247" s="1"/>
    </row>
    <row r="248" spans="2:24" ht="9.75" customHeight="1" x14ac:dyDescent="0.4">
      <c r="C248" s="17"/>
      <c r="D248" s="17" t="s">
        <v>301</v>
      </c>
      <c r="E248" s="17"/>
      <c r="F248" s="32"/>
      <c r="G248" s="6"/>
      <c r="H248" s="6"/>
      <c r="I248" s="6"/>
      <c r="J248" s="6"/>
      <c r="K248" s="6"/>
      <c r="L248" s="6"/>
      <c r="M248" s="6"/>
      <c r="N248" s="6"/>
      <c r="O248" s="31"/>
      <c r="P248" s="32"/>
      <c r="Q248" s="6"/>
      <c r="R248" s="59"/>
      <c r="T248" s="182"/>
      <c r="U248" s="182"/>
      <c r="V248" s="1"/>
      <c r="W248" s="1"/>
      <c r="X248" s="1"/>
    </row>
    <row r="249" spans="2:24" ht="9.75" customHeight="1" x14ac:dyDescent="0.4">
      <c r="C249" s="17"/>
      <c r="D249" s="17" t="s">
        <v>303</v>
      </c>
      <c r="E249" s="17"/>
      <c r="F249" s="32"/>
      <c r="G249" s="6"/>
      <c r="H249" s="6"/>
      <c r="I249" s="6"/>
      <c r="J249" s="6"/>
      <c r="K249" s="6"/>
      <c r="L249" s="6"/>
      <c r="M249" s="6"/>
      <c r="N249" s="6"/>
      <c r="O249" s="31"/>
      <c r="P249" s="32"/>
      <c r="Q249" s="6"/>
      <c r="R249" s="59"/>
      <c r="T249" s="182"/>
      <c r="U249" s="182"/>
      <c r="V249" s="1"/>
      <c r="W249" s="1"/>
      <c r="X249" s="1"/>
    </row>
    <row r="250" spans="2:24" ht="9.75" customHeight="1" x14ac:dyDescent="0.4">
      <c r="C250" s="17"/>
      <c r="D250" s="17" t="s">
        <v>409</v>
      </c>
      <c r="E250" s="17">
        <v>115</v>
      </c>
      <c r="F250" s="32">
        <v>83</v>
      </c>
      <c r="G250" s="6">
        <v>42</v>
      </c>
      <c r="H250" s="6">
        <v>29</v>
      </c>
      <c r="I250" s="6">
        <v>25</v>
      </c>
      <c r="J250" s="6">
        <v>40</v>
      </c>
      <c r="K250" s="6">
        <v>34</v>
      </c>
      <c r="L250" s="6">
        <v>47</v>
      </c>
      <c r="M250" s="6">
        <v>46</v>
      </c>
      <c r="N250" s="6">
        <v>61</v>
      </c>
      <c r="O250" s="31">
        <v>65</v>
      </c>
      <c r="P250" s="32">
        <f>MIN(F250:O250)</f>
        <v>25</v>
      </c>
      <c r="Q250" s="6">
        <f>E250-P250</f>
        <v>90</v>
      </c>
      <c r="R250" s="59">
        <f>Q250/E250</f>
        <v>0.78260869565217395</v>
      </c>
      <c r="T250" s="182"/>
      <c r="U250" s="182"/>
      <c r="V250" s="1"/>
      <c r="W250" s="1"/>
      <c r="X250" s="1"/>
    </row>
    <row r="251" spans="2:24" ht="9.75" customHeight="1" x14ac:dyDescent="0.4">
      <c r="C251" s="17"/>
      <c r="D251" s="17" t="s">
        <v>308</v>
      </c>
      <c r="E251" s="17"/>
      <c r="F251" s="32"/>
      <c r="G251" s="6"/>
      <c r="H251" s="6"/>
      <c r="I251" s="6"/>
      <c r="J251" s="6"/>
      <c r="K251" s="6"/>
      <c r="L251" s="6"/>
      <c r="M251" s="6"/>
      <c r="N251" s="6"/>
      <c r="O251" s="31"/>
      <c r="P251" s="32"/>
      <c r="Q251" s="6"/>
      <c r="R251" s="59"/>
      <c r="T251" s="182"/>
      <c r="U251" s="182"/>
      <c r="V251" s="1"/>
      <c r="W251" s="1"/>
      <c r="X251" s="1"/>
    </row>
    <row r="252" spans="2:24" ht="9.75" customHeight="1" x14ac:dyDescent="0.4">
      <c r="C252" s="17"/>
      <c r="D252" s="17" t="s">
        <v>497</v>
      </c>
      <c r="E252" s="17">
        <v>10</v>
      </c>
      <c r="F252" s="32">
        <v>6</v>
      </c>
      <c r="G252" s="6">
        <v>6</v>
      </c>
      <c r="H252" s="6">
        <v>6</v>
      </c>
      <c r="I252" s="6">
        <v>6</v>
      </c>
      <c r="J252" s="6">
        <v>4</v>
      </c>
      <c r="K252" s="6">
        <v>5</v>
      </c>
      <c r="L252" s="6">
        <v>9</v>
      </c>
      <c r="M252" s="6">
        <v>6</v>
      </c>
      <c r="N252" s="6">
        <v>5</v>
      </c>
      <c r="O252" s="31">
        <v>6</v>
      </c>
      <c r="P252" s="32">
        <f t="shared" ref="P252:P253" si="50">MIN(F252:O252)</f>
        <v>4</v>
      </c>
      <c r="Q252" s="6">
        <f t="shared" ref="Q252:Q253" si="51">E252-P252</f>
        <v>6</v>
      </c>
      <c r="R252" s="59">
        <f t="shared" ref="R252:R253" si="52">Q252/E252</f>
        <v>0.6</v>
      </c>
      <c r="T252" s="182"/>
      <c r="U252" s="182"/>
      <c r="V252" s="1"/>
      <c r="W252" s="1"/>
      <c r="X252" s="1"/>
    </row>
    <row r="253" spans="2:24" ht="9.75" customHeight="1" x14ac:dyDescent="0.4">
      <c r="C253" s="17"/>
      <c r="D253" s="17" t="s">
        <v>498</v>
      </c>
      <c r="E253" s="17">
        <v>30</v>
      </c>
      <c r="F253" s="32">
        <v>28</v>
      </c>
      <c r="G253" s="6">
        <v>21</v>
      </c>
      <c r="H253" s="6">
        <v>15</v>
      </c>
      <c r="I253" s="6">
        <v>16</v>
      </c>
      <c r="J253" s="6">
        <v>9</v>
      </c>
      <c r="K253" s="6">
        <v>12</v>
      </c>
      <c r="L253" s="6">
        <v>13</v>
      </c>
      <c r="M253" s="6">
        <v>15</v>
      </c>
      <c r="N253" s="6">
        <v>17</v>
      </c>
      <c r="O253" s="31">
        <v>20</v>
      </c>
      <c r="P253" s="32">
        <f t="shared" si="50"/>
        <v>9</v>
      </c>
      <c r="Q253" s="6">
        <f t="shared" si="51"/>
        <v>21</v>
      </c>
      <c r="R253" s="59">
        <f t="shared" si="52"/>
        <v>0.7</v>
      </c>
      <c r="T253" s="182"/>
      <c r="U253" s="182"/>
      <c r="V253" s="1"/>
      <c r="W253" s="1"/>
      <c r="X253" s="1"/>
    </row>
    <row r="254" spans="2:24" ht="9.75" customHeight="1" x14ac:dyDescent="0.4">
      <c r="C254" s="17"/>
      <c r="D254" s="17" t="s">
        <v>374</v>
      </c>
      <c r="E254" s="17"/>
      <c r="F254" s="32"/>
      <c r="G254" s="6"/>
      <c r="H254" s="6"/>
      <c r="I254" s="6"/>
      <c r="J254" s="6"/>
      <c r="K254" s="6"/>
      <c r="L254" s="6"/>
      <c r="M254" s="6"/>
      <c r="N254" s="6"/>
      <c r="O254" s="31"/>
      <c r="P254" s="32"/>
      <c r="Q254" s="6"/>
      <c r="R254" s="59"/>
      <c r="T254" s="182"/>
      <c r="U254" s="182"/>
      <c r="V254" s="1"/>
      <c r="W254" s="1"/>
      <c r="X254" s="1"/>
    </row>
    <row r="255" spans="2:24" ht="9.75" customHeight="1" x14ac:dyDescent="0.4">
      <c r="C255" s="17"/>
      <c r="D255" s="17" t="s">
        <v>374</v>
      </c>
      <c r="E255" s="17"/>
      <c r="F255" s="32"/>
      <c r="G255" s="6"/>
      <c r="H255" s="6"/>
      <c r="I255" s="6"/>
      <c r="J255" s="6"/>
      <c r="K255" s="6"/>
      <c r="L255" s="6"/>
      <c r="M255" s="6"/>
      <c r="N255" s="6"/>
      <c r="O255" s="31"/>
      <c r="P255" s="32"/>
      <c r="Q255" s="6"/>
      <c r="R255" s="59"/>
      <c r="T255" s="182"/>
      <c r="U255" s="182"/>
      <c r="V255" s="1"/>
      <c r="W255" s="1"/>
      <c r="X255" s="1"/>
    </row>
    <row r="256" spans="2:24" ht="9.75" customHeight="1" x14ac:dyDescent="0.4">
      <c r="C256" s="17"/>
      <c r="D256" s="17" t="s">
        <v>374</v>
      </c>
      <c r="E256" s="17"/>
      <c r="F256" s="32"/>
      <c r="G256" s="6"/>
      <c r="H256" s="6"/>
      <c r="I256" s="6"/>
      <c r="J256" s="6"/>
      <c r="K256" s="6"/>
      <c r="L256" s="6"/>
      <c r="M256" s="6"/>
      <c r="N256" s="6"/>
      <c r="O256" s="31"/>
      <c r="P256" s="32"/>
      <c r="Q256" s="6"/>
      <c r="R256" s="59"/>
      <c r="T256" s="182"/>
      <c r="U256" s="182"/>
      <c r="V256" s="1"/>
      <c r="W256" s="1"/>
      <c r="X256" s="1"/>
    </row>
    <row r="257" spans="2:24" ht="9.75" customHeight="1" x14ac:dyDescent="0.4">
      <c r="C257" s="17"/>
      <c r="D257" s="17" t="s">
        <v>374</v>
      </c>
      <c r="E257" s="17"/>
      <c r="F257" s="32"/>
      <c r="G257" s="6"/>
      <c r="H257" s="6"/>
      <c r="I257" s="6"/>
      <c r="J257" s="6"/>
      <c r="K257" s="6"/>
      <c r="L257" s="6"/>
      <c r="M257" s="6"/>
      <c r="N257" s="6"/>
      <c r="O257" s="31"/>
      <c r="P257" s="32"/>
      <c r="Q257" s="6"/>
      <c r="R257" s="59"/>
      <c r="T257" s="182"/>
      <c r="U257" s="182"/>
      <c r="V257" s="1"/>
      <c r="W257" s="1"/>
      <c r="X257" s="1"/>
    </row>
    <row r="258" spans="2:24" ht="9.75" customHeight="1" x14ac:dyDescent="0.4">
      <c r="C258" s="17"/>
      <c r="D258" s="17" t="s">
        <v>310</v>
      </c>
      <c r="E258" s="17">
        <v>18</v>
      </c>
      <c r="F258" s="32">
        <v>18</v>
      </c>
      <c r="G258" s="6">
        <v>13</v>
      </c>
      <c r="H258" s="6">
        <v>15</v>
      </c>
      <c r="I258" s="6">
        <v>14</v>
      </c>
      <c r="J258" s="6">
        <v>15</v>
      </c>
      <c r="K258" s="6">
        <v>14</v>
      </c>
      <c r="L258" s="6">
        <v>16</v>
      </c>
      <c r="M258" s="6">
        <v>17</v>
      </c>
      <c r="N258" s="6">
        <v>17</v>
      </c>
      <c r="O258" s="31">
        <v>17</v>
      </c>
      <c r="P258" s="32">
        <f>MIN(F258:O258)</f>
        <v>13</v>
      </c>
      <c r="Q258" s="6">
        <f>E258-P258</f>
        <v>5</v>
      </c>
      <c r="R258" s="59">
        <f>Q258/E258</f>
        <v>0.27777777777777779</v>
      </c>
      <c r="T258" s="182"/>
      <c r="U258" s="182"/>
      <c r="V258" s="1"/>
      <c r="W258" s="1"/>
      <c r="X258" s="1"/>
    </row>
    <row r="259" spans="2:24" ht="9.75" customHeight="1" x14ac:dyDescent="0.4">
      <c r="C259" s="17"/>
      <c r="D259" s="17" t="s">
        <v>311</v>
      </c>
      <c r="E259" s="17"/>
      <c r="F259" s="32"/>
      <c r="G259" s="6"/>
      <c r="H259" s="6"/>
      <c r="I259" s="6"/>
      <c r="J259" s="6"/>
      <c r="K259" s="6"/>
      <c r="L259" s="6"/>
      <c r="M259" s="6"/>
      <c r="N259" s="6"/>
      <c r="O259" s="31"/>
      <c r="P259" s="32"/>
      <c r="Q259" s="6"/>
      <c r="R259" s="59"/>
      <c r="T259" s="182"/>
      <c r="U259" s="182"/>
      <c r="V259" s="1"/>
      <c r="W259" s="1"/>
      <c r="X259" s="1"/>
    </row>
    <row r="260" spans="2:24" ht="9.75" customHeight="1" x14ac:dyDescent="0.4">
      <c r="C260" s="17"/>
      <c r="D260" s="17" t="s">
        <v>312</v>
      </c>
      <c r="E260" s="17"/>
      <c r="F260" s="32"/>
      <c r="G260" s="6"/>
      <c r="H260" s="6"/>
      <c r="I260" s="6"/>
      <c r="J260" s="6"/>
      <c r="K260" s="6"/>
      <c r="L260" s="6"/>
      <c r="M260" s="6"/>
      <c r="N260" s="6"/>
      <c r="O260" s="31"/>
      <c r="P260" s="32"/>
      <c r="Q260" s="6"/>
      <c r="R260" s="59"/>
      <c r="T260" s="182"/>
      <c r="U260" s="182"/>
      <c r="V260" s="1"/>
      <c r="W260" s="1"/>
      <c r="X260" s="1"/>
    </row>
    <row r="261" spans="2:24" ht="9.75" customHeight="1" x14ac:dyDescent="0.4">
      <c r="C261" s="17"/>
      <c r="D261" s="17" t="s">
        <v>313</v>
      </c>
      <c r="E261" s="17"/>
      <c r="F261" s="32"/>
      <c r="G261" s="6"/>
      <c r="H261" s="6"/>
      <c r="I261" s="6"/>
      <c r="J261" s="6"/>
      <c r="K261" s="6"/>
      <c r="L261" s="6"/>
      <c r="M261" s="6"/>
      <c r="N261" s="6"/>
      <c r="O261" s="31"/>
      <c r="P261" s="32"/>
      <c r="Q261" s="6"/>
      <c r="R261" s="59"/>
      <c r="T261" s="182"/>
      <c r="U261" s="182"/>
      <c r="V261" s="1"/>
      <c r="W261" s="1"/>
      <c r="X261" s="1"/>
    </row>
    <row r="262" spans="2:24" ht="9.75" customHeight="1" x14ac:dyDescent="0.4">
      <c r="B262" s="219" t="s">
        <v>395</v>
      </c>
      <c r="C262" s="34"/>
      <c r="D262" s="104" t="s">
        <v>314</v>
      </c>
      <c r="E262" s="104">
        <f t="shared" ref="E262:O262" si="53">SUM(E247:E261)</f>
        <v>182</v>
      </c>
      <c r="F262" s="104">
        <f t="shared" si="53"/>
        <v>135</v>
      </c>
      <c r="G262" s="128">
        <f t="shared" si="53"/>
        <v>82</v>
      </c>
      <c r="H262" s="128">
        <f t="shared" si="53"/>
        <v>65</v>
      </c>
      <c r="I262" s="128">
        <f t="shared" si="53"/>
        <v>61</v>
      </c>
      <c r="J262" s="128">
        <f t="shared" si="53"/>
        <v>69</v>
      </c>
      <c r="K262" s="128">
        <f t="shared" si="53"/>
        <v>66</v>
      </c>
      <c r="L262" s="128">
        <f t="shared" si="53"/>
        <v>85</v>
      </c>
      <c r="M262" s="128">
        <f t="shared" si="53"/>
        <v>84</v>
      </c>
      <c r="N262" s="128">
        <f t="shared" si="53"/>
        <v>101</v>
      </c>
      <c r="O262" s="129">
        <f t="shared" si="53"/>
        <v>109</v>
      </c>
      <c r="P262" s="128">
        <f t="shared" ref="P262:P264" si="54">MIN(F262:O262)</f>
        <v>61</v>
      </c>
      <c r="Q262" s="128">
        <f t="shared" ref="Q262:Q264" si="55">E262-P262</f>
        <v>121</v>
      </c>
      <c r="R262" s="72">
        <f t="shared" ref="R262:R264" si="56">Q262/E262</f>
        <v>0.6648351648351648</v>
      </c>
      <c r="T262" s="182"/>
      <c r="U262" s="182"/>
      <c r="V262" s="1"/>
      <c r="W262" s="1"/>
      <c r="X262" s="1"/>
    </row>
    <row r="263" spans="2:24" ht="9.75" customHeight="1" x14ac:dyDescent="0.4">
      <c r="C263" s="15" t="s">
        <v>200</v>
      </c>
      <c r="D263" s="15" t="s">
        <v>300</v>
      </c>
      <c r="E263" s="17">
        <f>8+9+40</f>
        <v>57</v>
      </c>
      <c r="F263" s="32">
        <v>27</v>
      </c>
      <c r="G263" s="6">
        <v>15</v>
      </c>
      <c r="H263" s="6">
        <v>17</v>
      </c>
      <c r="I263" s="6">
        <v>14</v>
      </c>
      <c r="J263" s="6">
        <v>18</v>
      </c>
      <c r="K263" s="6">
        <v>13</v>
      </c>
      <c r="L263" s="6">
        <v>17</v>
      </c>
      <c r="M263" s="6">
        <v>20</v>
      </c>
      <c r="N263" s="6">
        <v>26</v>
      </c>
      <c r="O263" s="31">
        <v>32</v>
      </c>
      <c r="P263" s="32">
        <f t="shared" si="54"/>
        <v>13</v>
      </c>
      <c r="Q263" s="6">
        <f t="shared" si="55"/>
        <v>44</v>
      </c>
      <c r="R263" s="59">
        <f t="shared" si="56"/>
        <v>0.77192982456140347</v>
      </c>
      <c r="T263" s="182"/>
      <c r="U263" s="182"/>
      <c r="V263" s="1"/>
      <c r="W263" s="1"/>
      <c r="X263" s="1"/>
    </row>
    <row r="264" spans="2:24" ht="9.75" customHeight="1" x14ac:dyDescent="0.4">
      <c r="C264" s="17"/>
      <c r="D264" s="17" t="s">
        <v>301</v>
      </c>
      <c r="E264" s="17">
        <v>103</v>
      </c>
      <c r="F264" s="32">
        <v>0</v>
      </c>
      <c r="G264" s="6">
        <v>0</v>
      </c>
      <c r="H264" s="6">
        <v>1</v>
      </c>
      <c r="I264" s="6">
        <v>1</v>
      </c>
      <c r="J264" s="6">
        <v>1</v>
      </c>
      <c r="K264" s="6">
        <v>0</v>
      </c>
      <c r="L264" s="6">
        <v>1</v>
      </c>
      <c r="M264" s="6">
        <v>8</v>
      </c>
      <c r="N264" s="6">
        <v>27</v>
      </c>
      <c r="O264" s="31">
        <v>30</v>
      </c>
      <c r="P264" s="32">
        <f t="shared" si="54"/>
        <v>0</v>
      </c>
      <c r="Q264" s="6">
        <f t="shared" si="55"/>
        <v>103</v>
      </c>
      <c r="R264" s="59">
        <f t="shared" si="56"/>
        <v>1</v>
      </c>
      <c r="T264" s="182"/>
      <c r="U264" s="182"/>
      <c r="V264" s="1"/>
      <c r="W264" s="1"/>
      <c r="X264" s="1"/>
    </row>
    <row r="265" spans="2:24" ht="9.75" customHeight="1" x14ac:dyDescent="0.4">
      <c r="C265" s="17"/>
      <c r="D265" s="17" t="s">
        <v>303</v>
      </c>
      <c r="E265" s="17"/>
      <c r="F265" s="32"/>
      <c r="G265" s="6"/>
      <c r="H265" s="6"/>
      <c r="I265" s="6"/>
      <c r="J265" s="6"/>
      <c r="K265" s="6"/>
      <c r="L265" s="6"/>
      <c r="M265" s="6"/>
      <c r="N265" s="6"/>
      <c r="O265" s="31"/>
      <c r="P265" s="32"/>
      <c r="Q265" s="6"/>
      <c r="R265" s="59"/>
      <c r="T265" s="182"/>
      <c r="U265" s="182"/>
      <c r="V265" s="1"/>
      <c r="W265" s="1"/>
      <c r="X265" s="1"/>
    </row>
    <row r="266" spans="2:24" ht="9.75" customHeight="1" x14ac:dyDescent="0.4">
      <c r="C266" s="17"/>
      <c r="D266" s="17" t="s">
        <v>409</v>
      </c>
      <c r="E266" s="17">
        <v>39</v>
      </c>
      <c r="F266" s="32">
        <v>23</v>
      </c>
      <c r="G266" s="6">
        <v>10</v>
      </c>
      <c r="H266" s="6">
        <v>8</v>
      </c>
      <c r="I266" s="6">
        <v>8</v>
      </c>
      <c r="J266" s="6">
        <v>10</v>
      </c>
      <c r="K266" s="6">
        <v>9</v>
      </c>
      <c r="L266" s="6">
        <v>11</v>
      </c>
      <c r="M266" s="6">
        <v>13</v>
      </c>
      <c r="N266" s="6">
        <v>14</v>
      </c>
      <c r="O266" s="31">
        <v>17</v>
      </c>
      <c r="P266" s="32">
        <f>MIN(F266:O266)</f>
        <v>8</v>
      </c>
      <c r="Q266" s="6">
        <f>E266-P266</f>
        <v>31</v>
      </c>
      <c r="R266" s="59">
        <f>Q266/E266</f>
        <v>0.79487179487179482</v>
      </c>
      <c r="T266" s="182"/>
      <c r="U266" s="182"/>
      <c r="V266" s="1"/>
      <c r="W266" s="1"/>
      <c r="X266" s="1"/>
    </row>
    <row r="267" spans="2:24" ht="9.75" customHeight="1" x14ac:dyDescent="0.4">
      <c r="C267" s="17"/>
      <c r="D267" s="17" t="s">
        <v>369</v>
      </c>
      <c r="E267" s="17"/>
      <c r="F267" s="32"/>
      <c r="G267" s="6"/>
      <c r="H267" s="6"/>
      <c r="I267" s="6"/>
      <c r="J267" s="6"/>
      <c r="K267" s="6"/>
      <c r="L267" s="6"/>
      <c r="M267" s="6"/>
      <c r="N267" s="6"/>
      <c r="O267" s="31"/>
      <c r="P267" s="32"/>
      <c r="Q267" s="6"/>
      <c r="R267" s="59"/>
      <c r="T267" s="182"/>
      <c r="U267" s="182"/>
      <c r="V267" s="1"/>
      <c r="W267" s="1"/>
      <c r="X267" s="1"/>
    </row>
    <row r="268" spans="2:24" ht="9.75" customHeight="1" x14ac:dyDescent="0.4">
      <c r="C268" s="17"/>
      <c r="D268" s="17" t="s">
        <v>308</v>
      </c>
      <c r="E268" s="17"/>
      <c r="F268" s="32"/>
      <c r="G268" s="6"/>
      <c r="H268" s="6"/>
      <c r="I268" s="6"/>
      <c r="J268" s="6"/>
      <c r="K268" s="6"/>
      <c r="L268" s="6"/>
      <c r="M268" s="6"/>
      <c r="N268" s="6"/>
      <c r="O268" s="31"/>
      <c r="P268" s="32"/>
      <c r="Q268" s="6"/>
      <c r="R268" s="59"/>
      <c r="T268" s="182"/>
      <c r="U268" s="182"/>
      <c r="V268" s="1"/>
      <c r="W268" s="1"/>
      <c r="X268" s="1"/>
    </row>
    <row r="269" spans="2:24" ht="9.75" customHeight="1" x14ac:dyDescent="0.4">
      <c r="C269" s="17"/>
      <c r="D269" s="17" t="s">
        <v>374</v>
      </c>
      <c r="E269" s="17"/>
      <c r="F269" s="32"/>
      <c r="G269" s="6"/>
      <c r="H269" s="6"/>
      <c r="I269" s="6"/>
      <c r="J269" s="6"/>
      <c r="K269" s="6"/>
      <c r="L269" s="6"/>
      <c r="M269" s="6"/>
      <c r="N269" s="6"/>
      <c r="O269" s="31"/>
      <c r="P269" s="32"/>
      <c r="Q269" s="6"/>
      <c r="R269" s="59"/>
      <c r="T269" s="182"/>
      <c r="U269" s="182"/>
      <c r="V269" s="1"/>
      <c r="W269" s="1"/>
      <c r="X269" s="1"/>
    </row>
    <row r="270" spans="2:24" ht="9.75" customHeight="1" x14ac:dyDescent="0.4">
      <c r="C270" s="17"/>
      <c r="D270" s="17" t="s">
        <v>374</v>
      </c>
      <c r="E270" s="17"/>
      <c r="F270" s="32"/>
      <c r="G270" s="6"/>
      <c r="H270" s="6"/>
      <c r="I270" s="6"/>
      <c r="J270" s="6"/>
      <c r="K270" s="6"/>
      <c r="L270" s="6"/>
      <c r="M270" s="6"/>
      <c r="N270" s="6"/>
      <c r="O270" s="31"/>
      <c r="P270" s="32"/>
      <c r="Q270" s="6"/>
      <c r="R270" s="59"/>
      <c r="T270" s="182"/>
      <c r="U270" s="182"/>
      <c r="V270" s="1"/>
      <c r="W270" s="1"/>
      <c r="X270" s="1"/>
    </row>
    <row r="271" spans="2:24" ht="9.75" customHeight="1" x14ac:dyDescent="0.4">
      <c r="C271" s="17"/>
      <c r="D271" s="17" t="s">
        <v>374</v>
      </c>
      <c r="E271" s="17"/>
      <c r="F271" s="32"/>
      <c r="G271" s="6"/>
      <c r="H271" s="6"/>
      <c r="I271" s="6"/>
      <c r="J271" s="6"/>
      <c r="K271" s="6"/>
      <c r="L271" s="6"/>
      <c r="M271" s="6"/>
      <c r="N271" s="6"/>
      <c r="O271" s="31"/>
      <c r="P271" s="32"/>
      <c r="Q271" s="6"/>
      <c r="R271" s="59"/>
      <c r="T271" s="182"/>
      <c r="U271" s="182"/>
      <c r="V271" s="1"/>
      <c r="W271" s="1"/>
      <c r="X271" s="1"/>
    </row>
    <row r="272" spans="2:24" ht="9.75" customHeight="1" x14ac:dyDescent="0.4">
      <c r="C272" s="17"/>
      <c r="D272" s="17" t="s">
        <v>374</v>
      </c>
      <c r="E272" s="17"/>
      <c r="F272" s="32"/>
      <c r="G272" s="6"/>
      <c r="H272" s="6"/>
      <c r="I272" s="6"/>
      <c r="J272" s="6"/>
      <c r="K272" s="6"/>
      <c r="L272" s="6"/>
      <c r="M272" s="6"/>
      <c r="N272" s="6"/>
      <c r="O272" s="31"/>
      <c r="P272" s="32"/>
      <c r="Q272" s="6"/>
      <c r="R272" s="59"/>
      <c r="T272" s="182"/>
      <c r="U272" s="182"/>
      <c r="V272" s="1"/>
      <c r="W272" s="1"/>
      <c r="X272" s="1"/>
    </row>
    <row r="273" spans="2:24" ht="9.75" customHeight="1" x14ac:dyDescent="0.4">
      <c r="C273" s="17"/>
      <c r="D273" s="17" t="s">
        <v>374</v>
      </c>
      <c r="E273" s="17"/>
      <c r="F273" s="32"/>
      <c r="G273" s="6"/>
      <c r="H273" s="6"/>
      <c r="I273" s="6"/>
      <c r="J273" s="6"/>
      <c r="K273" s="6"/>
      <c r="L273" s="6"/>
      <c r="M273" s="6"/>
      <c r="N273" s="6"/>
      <c r="O273" s="31"/>
      <c r="P273" s="32"/>
      <c r="Q273" s="6"/>
      <c r="R273" s="59"/>
      <c r="T273" s="182"/>
      <c r="U273" s="182"/>
      <c r="V273" s="1"/>
      <c r="W273" s="1"/>
      <c r="X273" s="1"/>
    </row>
    <row r="274" spans="2:24" ht="9.75" customHeight="1" x14ac:dyDescent="0.4">
      <c r="C274" s="17"/>
      <c r="D274" s="17" t="s">
        <v>374</v>
      </c>
      <c r="E274" s="17"/>
      <c r="F274" s="32"/>
      <c r="G274" s="6"/>
      <c r="H274" s="6"/>
      <c r="I274" s="6"/>
      <c r="J274" s="6"/>
      <c r="K274" s="6"/>
      <c r="L274" s="6"/>
      <c r="M274" s="6"/>
      <c r="N274" s="6"/>
      <c r="O274" s="31"/>
      <c r="P274" s="32"/>
      <c r="Q274" s="6"/>
      <c r="R274" s="59"/>
      <c r="T274" s="182"/>
      <c r="U274" s="182"/>
      <c r="V274" s="1"/>
      <c r="W274" s="1"/>
      <c r="X274" s="1"/>
    </row>
    <row r="275" spans="2:24" ht="9.75" customHeight="1" x14ac:dyDescent="0.4">
      <c r="C275" s="17"/>
      <c r="D275" s="17" t="s">
        <v>310</v>
      </c>
      <c r="E275" s="17">
        <v>9</v>
      </c>
      <c r="F275" s="32">
        <v>9</v>
      </c>
      <c r="G275" s="6">
        <v>8</v>
      </c>
      <c r="H275" s="6">
        <v>7</v>
      </c>
      <c r="I275" s="6">
        <v>6</v>
      </c>
      <c r="J275" s="6">
        <v>8</v>
      </c>
      <c r="K275" s="6">
        <v>7</v>
      </c>
      <c r="L275" s="6">
        <v>9</v>
      </c>
      <c r="M275" s="6">
        <v>9</v>
      </c>
      <c r="N275" s="6">
        <v>9</v>
      </c>
      <c r="O275" s="31">
        <v>9</v>
      </c>
      <c r="P275" s="32">
        <f>MIN(F275:O275)</f>
        <v>6</v>
      </c>
      <c r="Q275" s="6">
        <f>E275-P275</f>
        <v>3</v>
      </c>
      <c r="R275" s="59">
        <f>Q275/E275</f>
        <v>0.33333333333333331</v>
      </c>
      <c r="T275" s="182"/>
      <c r="U275" s="182"/>
      <c r="V275" s="1"/>
      <c r="W275" s="1"/>
      <c r="X275" s="1"/>
    </row>
    <row r="276" spans="2:24" ht="9.75" customHeight="1" x14ac:dyDescent="0.4">
      <c r="C276" s="17"/>
      <c r="D276" s="17" t="s">
        <v>311</v>
      </c>
      <c r="E276" s="17"/>
      <c r="F276" s="32"/>
      <c r="G276" s="6"/>
      <c r="H276" s="6"/>
      <c r="I276" s="6"/>
      <c r="J276" s="6"/>
      <c r="K276" s="6"/>
      <c r="L276" s="6"/>
      <c r="M276" s="6"/>
      <c r="N276" s="6"/>
      <c r="O276" s="31"/>
      <c r="P276" s="32"/>
      <c r="Q276" s="6"/>
      <c r="R276" s="59"/>
      <c r="T276" s="182"/>
      <c r="U276" s="182"/>
      <c r="V276" s="1"/>
      <c r="W276" s="1"/>
      <c r="X276" s="1"/>
    </row>
    <row r="277" spans="2:24" ht="9.75" customHeight="1" x14ac:dyDescent="0.4">
      <c r="C277" s="17"/>
      <c r="D277" s="17" t="s">
        <v>312</v>
      </c>
      <c r="E277" s="17"/>
      <c r="F277" s="32"/>
      <c r="G277" s="6"/>
      <c r="H277" s="6"/>
      <c r="I277" s="6"/>
      <c r="J277" s="6"/>
      <c r="K277" s="6"/>
      <c r="L277" s="6"/>
      <c r="M277" s="6"/>
      <c r="N277" s="6"/>
      <c r="O277" s="31"/>
      <c r="P277" s="32"/>
      <c r="Q277" s="6"/>
      <c r="R277" s="59"/>
      <c r="T277" s="182"/>
      <c r="U277" s="182"/>
      <c r="V277" s="1"/>
      <c r="W277" s="1"/>
      <c r="X277" s="1"/>
    </row>
    <row r="278" spans="2:24" ht="9.75" customHeight="1" x14ac:dyDescent="0.4">
      <c r="C278" s="17"/>
      <c r="D278" s="17" t="s">
        <v>313</v>
      </c>
      <c r="E278" s="17"/>
      <c r="F278" s="32"/>
      <c r="G278" s="6"/>
      <c r="H278" s="6"/>
      <c r="I278" s="6"/>
      <c r="J278" s="6"/>
      <c r="K278" s="6"/>
      <c r="L278" s="6"/>
      <c r="M278" s="6"/>
      <c r="N278" s="6"/>
      <c r="O278" s="31"/>
      <c r="P278" s="32"/>
      <c r="Q278" s="6"/>
      <c r="R278" s="59"/>
      <c r="T278" s="182"/>
      <c r="U278" s="182"/>
      <c r="V278" s="1"/>
      <c r="W278" s="1"/>
      <c r="X278" s="1"/>
    </row>
    <row r="279" spans="2:24" ht="9.75" customHeight="1" x14ac:dyDescent="0.4">
      <c r="B279" s="219" t="s">
        <v>395</v>
      </c>
      <c r="C279" s="34"/>
      <c r="D279" s="104" t="s">
        <v>314</v>
      </c>
      <c r="E279" s="104">
        <f t="shared" ref="E279:O279" si="57">SUM(E263:E278)</f>
        <v>208</v>
      </c>
      <c r="F279" s="104">
        <f t="shared" si="57"/>
        <v>59</v>
      </c>
      <c r="G279" s="128">
        <f t="shared" si="57"/>
        <v>33</v>
      </c>
      <c r="H279" s="128">
        <f t="shared" si="57"/>
        <v>33</v>
      </c>
      <c r="I279" s="128">
        <f t="shared" si="57"/>
        <v>29</v>
      </c>
      <c r="J279" s="128">
        <f t="shared" si="57"/>
        <v>37</v>
      </c>
      <c r="K279" s="128">
        <f t="shared" si="57"/>
        <v>29</v>
      </c>
      <c r="L279" s="128">
        <f t="shared" si="57"/>
        <v>38</v>
      </c>
      <c r="M279" s="128">
        <f t="shared" si="57"/>
        <v>50</v>
      </c>
      <c r="N279" s="128">
        <f t="shared" si="57"/>
        <v>76</v>
      </c>
      <c r="O279" s="129">
        <f t="shared" si="57"/>
        <v>88</v>
      </c>
      <c r="P279" s="128">
        <f t="shared" ref="P279:P281" si="58">MIN(F279:O279)</f>
        <v>29</v>
      </c>
      <c r="Q279" s="128">
        <f t="shared" ref="Q279:Q281" si="59">E279-P279</f>
        <v>179</v>
      </c>
      <c r="R279" s="72">
        <f t="shared" ref="R279:R281" si="60">Q279/E279</f>
        <v>0.86057692307692313</v>
      </c>
      <c r="T279" s="182"/>
      <c r="U279" s="182"/>
      <c r="V279" s="1"/>
      <c r="W279" s="1"/>
      <c r="X279" s="1"/>
    </row>
    <row r="280" spans="2:24" ht="9.75" customHeight="1" x14ac:dyDescent="0.4">
      <c r="C280" s="15" t="s">
        <v>207</v>
      </c>
      <c r="D280" s="15" t="s">
        <v>300</v>
      </c>
      <c r="E280" s="17">
        <v>117</v>
      </c>
      <c r="F280" s="32">
        <v>92</v>
      </c>
      <c r="G280" s="6">
        <v>70</v>
      </c>
      <c r="H280" s="6">
        <v>55</v>
      </c>
      <c r="I280" s="6">
        <v>52</v>
      </c>
      <c r="J280" s="6">
        <v>57</v>
      </c>
      <c r="K280" s="6">
        <v>54</v>
      </c>
      <c r="L280" s="6">
        <v>56</v>
      </c>
      <c r="M280" s="6">
        <v>64</v>
      </c>
      <c r="N280" s="6">
        <v>70</v>
      </c>
      <c r="O280" s="31">
        <v>77</v>
      </c>
      <c r="P280" s="32">
        <f t="shared" si="58"/>
        <v>52</v>
      </c>
      <c r="Q280" s="6">
        <f t="shared" si="59"/>
        <v>65</v>
      </c>
      <c r="R280" s="59">
        <f t="shared" si="60"/>
        <v>0.55555555555555558</v>
      </c>
      <c r="T280" s="182"/>
      <c r="U280" s="182"/>
      <c r="V280" s="1"/>
      <c r="W280" s="1"/>
      <c r="X280" s="1"/>
    </row>
    <row r="281" spans="2:24" ht="9.75" customHeight="1" x14ac:dyDescent="0.4">
      <c r="C281" s="17"/>
      <c r="D281" s="17" t="s">
        <v>301</v>
      </c>
      <c r="E281" s="17">
        <v>100</v>
      </c>
      <c r="F281" s="32">
        <v>6</v>
      </c>
      <c r="G281" s="6">
        <v>0</v>
      </c>
      <c r="H281" s="6">
        <v>0</v>
      </c>
      <c r="I281" s="6">
        <v>0</v>
      </c>
      <c r="J281" s="6">
        <v>1</v>
      </c>
      <c r="K281" s="6">
        <v>1</v>
      </c>
      <c r="L281" s="6">
        <v>3</v>
      </c>
      <c r="M281" s="6">
        <v>7</v>
      </c>
      <c r="N281" s="6">
        <v>19</v>
      </c>
      <c r="O281" s="31">
        <v>23</v>
      </c>
      <c r="P281" s="32">
        <f t="shared" si="58"/>
        <v>0</v>
      </c>
      <c r="Q281" s="6">
        <f t="shared" si="59"/>
        <v>100</v>
      </c>
      <c r="R281" s="59">
        <f t="shared" si="60"/>
        <v>1</v>
      </c>
      <c r="T281" s="182"/>
      <c r="U281" s="182"/>
      <c r="V281" s="1"/>
      <c r="W281" s="1"/>
      <c r="X281" s="1"/>
    </row>
    <row r="282" spans="2:24" ht="9.75" customHeight="1" x14ac:dyDescent="0.4">
      <c r="C282" s="17"/>
      <c r="D282" s="17" t="s">
        <v>303</v>
      </c>
      <c r="E282" s="17"/>
      <c r="F282" s="32"/>
      <c r="G282" s="6"/>
      <c r="H282" s="6"/>
      <c r="I282" s="6"/>
      <c r="J282" s="6"/>
      <c r="K282" s="6"/>
      <c r="L282" s="6"/>
      <c r="M282" s="6"/>
      <c r="N282" s="6"/>
      <c r="O282" s="31"/>
      <c r="P282" s="32"/>
      <c r="Q282" s="6"/>
      <c r="R282" s="59"/>
      <c r="T282" s="182"/>
      <c r="U282" s="182"/>
      <c r="V282" s="1"/>
      <c r="W282" s="1"/>
      <c r="X282" s="1"/>
    </row>
    <row r="283" spans="2:24" ht="9.75" customHeight="1" x14ac:dyDescent="0.4">
      <c r="C283" s="17"/>
      <c r="D283" s="17" t="s">
        <v>369</v>
      </c>
      <c r="E283" s="17"/>
      <c r="F283" s="32"/>
      <c r="G283" s="6"/>
      <c r="H283" s="6"/>
      <c r="I283" s="6"/>
      <c r="J283" s="6"/>
      <c r="K283" s="6"/>
      <c r="L283" s="6"/>
      <c r="M283" s="6"/>
      <c r="N283" s="6"/>
      <c r="O283" s="31"/>
      <c r="P283" s="32"/>
      <c r="Q283" s="6"/>
      <c r="R283" s="59"/>
      <c r="T283" s="182"/>
      <c r="U283" s="182"/>
      <c r="V283" s="1"/>
      <c r="W283" s="1"/>
      <c r="X283" s="1"/>
    </row>
    <row r="284" spans="2:24" ht="9.75" customHeight="1" x14ac:dyDescent="0.4">
      <c r="C284" s="17"/>
      <c r="D284" s="17" t="s">
        <v>369</v>
      </c>
      <c r="E284" s="17"/>
      <c r="F284" s="32"/>
      <c r="G284" s="6"/>
      <c r="H284" s="6"/>
      <c r="I284" s="6"/>
      <c r="J284" s="6"/>
      <c r="K284" s="6"/>
      <c r="L284" s="6"/>
      <c r="M284" s="6"/>
      <c r="N284" s="6"/>
      <c r="O284" s="31"/>
      <c r="P284" s="32"/>
      <c r="Q284" s="6"/>
      <c r="R284" s="59"/>
      <c r="T284" s="182"/>
      <c r="U284" s="182"/>
      <c r="V284" s="1"/>
      <c r="W284" s="1"/>
      <c r="X284" s="1"/>
    </row>
    <row r="285" spans="2:24" ht="9.75" customHeight="1" x14ac:dyDescent="0.4">
      <c r="C285" s="17"/>
      <c r="D285" s="17" t="s">
        <v>308</v>
      </c>
      <c r="E285" s="17">
        <v>6</v>
      </c>
      <c r="F285" s="32">
        <v>6</v>
      </c>
      <c r="G285" s="6">
        <v>6</v>
      </c>
      <c r="H285" s="6">
        <v>5</v>
      </c>
      <c r="I285" s="6">
        <v>4</v>
      </c>
      <c r="J285" s="6">
        <v>5</v>
      </c>
      <c r="K285" s="6">
        <v>5</v>
      </c>
      <c r="L285" s="6">
        <v>5</v>
      </c>
      <c r="M285" s="6">
        <v>5</v>
      </c>
      <c r="N285" s="6">
        <v>5</v>
      </c>
      <c r="O285" s="31">
        <v>5</v>
      </c>
      <c r="P285" s="32">
        <f>MIN(F285:O285)</f>
        <v>4</v>
      </c>
      <c r="Q285" s="6">
        <f>E285-P285</f>
        <v>2</v>
      </c>
      <c r="R285" s="59">
        <f>Q285/E285</f>
        <v>0.33333333333333331</v>
      </c>
      <c r="T285" s="182"/>
      <c r="U285" s="182"/>
      <c r="V285" s="1"/>
      <c r="W285" s="1"/>
      <c r="X285" s="1"/>
    </row>
    <row r="286" spans="2:24" ht="9.75" customHeight="1" x14ac:dyDescent="0.4">
      <c r="C286" s="17"/>
      <c r="D286" s="17" t="s">
        <v>374</v>
      </c>
      <c r="E286" s="17"/>
      <c r="F286" s="32"/>
      <c r="G286" s="6"/>
      <c r="H286" s="6"/>
      <c r="I286" s="6"/>
      <c r="J286" s="6"/>
      <c r="K286" s="6"/>
      <c r="L286" s="6"/>
      <c r="M286" s="6"/>
      <c r="N286" s="6"/>
      <c r="O286" s="31"/>
      <c r="P286" s="32"/>
      <c r="Q286" s="6"/>
      <c r="R286" s="59"/>
      <c r="T286" s="182"/>
      <c r="U286" s="182"/>
      <c r="V286" s="1"/>
      <c r="W286" s="1"/>
      <c r="X286" s="1"/>
    </row>
    <row r="287" spans="2:24" ht="9.75" customHeight="1" x14ac:dyDescent="0.4">
      <c r="C287" s="17"/>
      <c r="D287" s="17" t="s">
        <v>374</v>
      </c>
      <c r="E287" s="17"/>
      <c r="F287" s="32"/>
      <c r="G287" s="6"/>
      <c r="H287" s="6"/>
      <c r="I287" s="6"/>
      <c r="J287" s="6"/>
      <c r="K287" s="6"/>
      <c r="L287" s="6"/>
      <c r="M287" s="6"/>
      <c r="N287" s="6"/>
      <c r="O287" s="31"/>
      <c r="P287" s="32"/>
      <c r="Q287" s="6"/>
      <c r="R287" s="59"/>
      <c r="T287" s="182"/>
      <c r="U287" s="182"/>
      <c r="V287" s="1"/>
      <c r="W287" s="1"/>
      <c r="X287" s="1"/>
    </row>
    <row r="288" spans="2:24" ht="9.75" customHeight="1" x14ac:dyDescent="0.4">
      <c r="C288" s="17"/>
      <c r="D288" s="17" t="s">
        <v>374</v>
      </c>
      <c r="E288" s="17"/>
      <c r="F288" s="32"/>
      <c r="G288" s="6"/>
      <c r="H288" s="6"/>
      <c r="I288" s="6"/>
      <c r="J288" s="6"/>
      <c r="K288" s="6"/>
      <c r="L288" s="6"/>
      <c r="M288" s="6"/>
      <c r="N288" s="6"/>
      <c r="O288" s="31"/>
      <c r="P288" s="32"/>
      <c r="Q288" s="6"/>
      <c r="R288" s="59"/>
      <c r="T288" s="182"/>
      <c r="U288" s="182"/>
      <c r="V288" s="1"/>
      <c r="W288" s="1"/>
      <c r="X288" s="1"/>
    </row>
    <row r="289" spans="2:24" ht="9.75" customHeight="1" x14ac:dyDescent="0.4">
      <c r="C289" s="17"/>
      <c r="D289" s="17" t="s">
        <v>374</v>
      </c>
      <c r="E289" s="17"/>
      <c r="F289" s="32"/>
      <c r="G289" s="6"/>
      <c r="H289" s="6"/>
      <c r="I289" s="6"/>
      <c r="J289" s="6"/>
      <c r="K289" s="6"/>
      <c r="L289" s="6"/>
      <c r="M289" s="6"/>
      <c r="N289" s="6"/>
      <c r="O289" s="31"/>
      <c r="P289" s="32"/>
      <c r="Q289" s="6"/>
      <c r="R289" s="59"/>
      <c r="T289" s="182"/>
      <c r="U289" s="182"/>
      <c r="V289" s="1"/>
      <c r="W289" s="1"/>
      <c r="X289" s="1"/>
    </row>
    <row r="290" spans="2:24" ht="9.75" customHeight="1" x14ac:dyDescent="0.4">
      <c r="C290" s="17"/>
      <c r="D290" s="17" t="s">
        <v>374</v>
      </c>
      <c r="E290" s="17"/>
      <c r="F290" s="32"/>
      <c r="G290" s="6"/>
      <c r="H290" s="6"/>
      <c r="I290" s="6"/>
      <c r="J290" s="6"/>
      <c r="K290" s="6"/>
      <c r="L290" s="6"/>
      <c r="M290" s="6"/>
      <c r="N290" s="6"/>
      <c r="O290" s="31"/>
      <c r="P290" s="32"/>
      <c r="Q290" s="6"/>
      <c r="R290" s="59"/>
      <c r="T290" s="182"/>
      <c r="U290" s="182"/>
      <c r="V290" s="1"/>
      <c r="W290" s="1"/>
      <c r="X290" s="1"/>
    </row>
    <row r="291" spans="2:24" ht="9.75" customHeight="1" x14ac:dyDescent="0.4">
      <c r="C291" s="17"/>
      <c r="D291" s="17" t="s">
        <v>374</v>
      </c>
      <c r="E291" s="17"/>
      <c r="F291" s="32"/>
      <c r="G291" s="6"/>
      <c r="H291" s="6"/>
      <c r="I291" s="6"/>
      <c r="J291" s="6"/>
      <c r="K291" s="6"/>
      <c r="L291" s="6"/>
      <c r="M291" s="6"/>
      <c r="N291" s="6"/>
      <c r="O291" s="31"/>
      <c r="P291" s="32"/>
      <c r="Q291" s="6"/>
      <c r="R291" s="59"/>
      <c r="T291" s="182"/>
      <c r="U291" s="182"/>
      <c r="V291" s="1"/>
      <c r="W291" s="1"/>
      <c r="X291" s="1"/>
    </row>
    <row r="292" spans="2:24" ht="9.75" customHeight="1" x14ac:dyDescent="0.4">
      <c r="C292" s="17"/>
      <c r="D292" s="17" t="s">
        <v>310</v>
      </c>
      <c r="E292" s="17"/>
      <c r="F292" s="32"/>
      <c r="G292" s="6"/>
      <c r="H292" s="6"/>
      <c r="I292" s="6"/>
      <c r="J292" s="6"/>
      <c r="K292" s="6"/>
      <c r="L292" s="6"/>
      <c r="M292" s="6"/>
      <c r="N292" s="6"/>
      <c r="O292" s="31"/>
      <c r="P292" s="32"/>
      <c r="Q292" s="6"/>
      <c r="R292" s="59"/>
      <c r="T292" s="182"/>
      <c r="U292" s="182"/>
      <c r="V292" s="1"/>
      <c r="W292" s="1"/>
      <c r="X292" s="1"/>
    </row>
    <row r="293" spans="2:24" ht="9.75" customHeight="1" x14ac:dyDescent="0.4">
      <c r="C293" s="17"/>
      <c r="D293" s="17" t="s">
        <v>311</v>
      </c>
      <c r="E293" s="17"/>
      <c r="F293" s="32"/>
      <c r="G293" s="6"/>
      <c r="H293" s="6"/>
      <c r="I293" s="6"/>
      <c r="J293" s="6"/>
      <c r="K293" s="6"/>
      <c r="L293" s="6"/>
      <c r="M293" s="6"/>
      <c r="N293" s="6"/>
      <c r="O293" s="31"/>
      <c r="P293" s="32"/>
      <c r="Q293" s="6"/>
      <c r="R293" s="59"/>
      <c r="T293" s="182"/>
      <c r="U293" s="182"/>
      <c r="V293" s="1"/>
      <c r="W293" s="1"/>
      <c r="X293" s="1"/>
    </row>
    <row r="294" spans="2:24" ht="9.75" customHeight="1" x14ac:dyDescent="0.4">
      <c r="C294" s="17"/>
      <c r="D294" s="17" t="s">
        <v>312</v>
      </c>
      <c r="E294" s="17"/>
      <c r="F294" s="32"/>
      <c r="G294" s="6"/>
      <c r="H294" s="6"/>
      <c r="I294" s="6"/>
      <c r="J294" s="6"/>
      <c r="K294" s="6"/>
      <c r="L294" s="6"/>
      <c r="M294" s="6"/>
      <c r="N294" s="6"/>
      <c r="O294" s="31"/>
      <c r="P294" s="32"/>
      <c r="Q294" s="6"/>
      <c r="R294" s="59"/>
      <c r="T294" s="182"/>
      <c r="U294" s="182"/>
      <c r="V294" s="1"/>
      <c r="W294" s="1"/>
      <c r="X294" s="1"/>
    </row>
    <row r="295" spans="2:24" ht="9.75" customHeight="1" x14ac:dyDescent="0.4">
      <c r="C295" s="17"/>
      <c r="D295" s="17" t="s">
        <v>313</v>
      </c>
      <c r="E295" s="17"/>
      <c r="F295" s="32"/>
      <c r="G295" s="6"/>
      <c r="H295" s="6"/>
      <c r="I295" s="6"/>
      <c r="J295" s="6"/>
      <c r="K295" s="6"/>
      <c r="L295" s="6"/>
      <c r="M295" s="6"/>
      <c r="N295" s="6"/>
      <c r="O295" s="31"/>
      <c r="P295" s="32"/>
      <c r="Q295" s="6"/>
      <c r="R295" s="59"/>
      <c r="T295" s="182"/>
      <c r="U295" s="182"/>
      <c r="V295" s="1"/>
      <c r="W295" s="1"/>
      <c r="X295" s="1"/>
    </row>
    <row r="296" spans="2:24" ht="9.75" customHeight="1" x14ac:dyDescent="0.4">
      <c r="B296" s="219" t="s">
        <v>395</v>
      </c>
      <c r="C296" s="34"/>
      <c r="D296" s="104" t="s">
        <v>314</v>
      </c>
      <c r="E296" s="104">
        <f t="shared" ref="E296:O296" si="61">SUM(E280:E295)</f>
        <v>223</v>
      </c>
      <c r="F296" s="104">
        <f t="shared" si="61"/>
        <v>104</v>
      </c>
      <c r="G296" s="128">
        <f t="shared" si="61"/>
        <v>76</v>
      </c>
      <c r="H296" s="128">
        <f t="shared" si="61"/>
        <v>60</v>
      </c>
      <c r="I296" s="128">
        <f t="shared" si="61"/>
        <v>56</v>
      </c>
      <c r="J296" s="128">
        <f t="shared" si="61"/>
        <v>63</v>
      </c>
      <c r="K296" s="128">
        <f t="shared" si="61"/>
        <v>60</v>
      </c>
      <c r="L296" s="128">
        <f t="shared" si="61"/>
        <v>64</v>
      </c>
      <c r="M296" s="128">
        <f t="shared" si="61"/>
        <v>76</v>
      </c>
      <c r="N296" s="128">
        <f t="shared" si="61"/>
        <v>94</v>
      </c>
      <c r="O296" s="129">
        <f t="shared" si="61"/>
        <v>105</v>
      </c>
      <c r="P296" s="128">
        <f>MIN(F296:O296)</f>
        <v>56</v>
      </c>
      <c r="Q296" s="128">
        <f>E296-P296</f>
        <v>167</v>
      </c>
      <c r="R296" s="72">
        <f>Q296/E296</f>
        <v>0.7488789237668162</v>
      </c>
      <c r="T296" s="182"/>
      <c r="U296" s="182"/>
      <c r="V296" s="1"/>
      <c r="W296" s="1"/>
      <c r="X296" s="1"/>
    </row>
    <row r="297" spans="2:24" ht="9.75" customHeight="1" x14ac:dyDescent="0.4">
      <c r="C297" s="15" t="s">
        <v>212</v>
      </c>
      <c r="D297" s="15" t="s">
        <v>300</v>
      </c>
      <c r="E297" s="17"/>
      <c r="F297" s="32"/>
      <c r="G297" s="6"/>
      <c r="H297" s="6"/>
      <c r="I297" s="6"/>
      <c r="J297" s="6"/>
      <c r="K297" s="6"/>
      <c r="L297" s="6"/>
      <c r="M297" s="6"/>
      <c r="N297" s="6"/>
      <c r="O297" s="31"/>
      <c r="P297" s="32"/>
      <c r="Q297" s="6"/>
      <c r="R297" s="59"/>
      <c r="T297" s="182"/>
      <c r="U297" s="182"/>
      <c r="V297" s="1"/>
      <c r="W297" s="1"/>
      <c r="X297" s="1"/>
    </row>
    <row r="298" spans="2:24" ht="9.75" customHeight="1" x14ac:dyDescent="0.4">
      <c r="C298" s="17"/>
      <c r="D298" s="17" t="s">
        <v>301</v>
      </c>
      <c r="E298" s="17">
        <v>222</v>
      </c>
      <c r="F298" s="32">
        <v>87</v>
      </c>
      <c r="G298" s="6">
        <v>38</v>
      </c>
      <c r="H298" s="6">
        <v>19</v>
      </c>
      <c r="I298" s="6">
        <v>20</v>
      </c>
      <c r="J298" s="6">
        <v>16</v>
      </c>
      <c r="K298" s="6">
        <v>18</v>
      </c>
      <c r="L298" s="6">
        <v>22</v>
      </c>
      <c r="M298" s="6">
        <v>26</v>
      </c>
      <c r="N298" s="6">
        <v>47</v>
      </c>
      <c r="O298" s="31">
        <v>55</v>
      </c>
      <c r="P298" s="32">
        <f>MIN(F298:O298)</f>
        <v>16</v>
      </c>
      <c r="Q298" s="6">
        <f>E298-P298</f>
        <v>206</v>
      </c>
      <c r="R298" s="59">
        <f>Q298/E298</f>
        <v>0.92792792792792789</v>
      </c>
      <c r="T298" s="182"/>
      <c r="U298" s="182"/>
      <c r="V298" s="1"/>
      <c r="W298" s="1"/>
      <c r="X298" s="1"/>
    </row>
    <row r="299" spans="2:24" ht="9.75" customHeight="1" x14ac:dyDescent="0.4">
      <c r="C299" s="17"/>
      <c r="D299" s="17" t="s">
        <v>303</v>
      </c>
      <c r="E299" s="17"/>
      <c r="F299" s="32"/>
      <c r="G299" s="6"/>
      <c r="H299" s="6"/>
      <c r="I299" s="6"/>
      <c r="J299" s="6"/>
      <c r="K299" s="6"/>
      <c r="L299" s="6"/>
      <c r="M299" s="6"/>
      <c r="N299" s="6"/>
      <c r="O299" s="31"/>
      <c r="P299" s="32"/>
      <c r="Q299" s="6"/>
      <c r="R299" s="59"/>
      <c r="T299" s="182"/>
      <c r="U299" s="182"/>
      <c r="V299" s="1"/>
      <c r="W299" s="1"/>
      <c r="X299" s="1"/>
    </row>
    <row r="300" spans="2:24" ht="9.75" customHeight="1" x14ac:dyDescent="0.4">
      <c r="C300" s="17"/>
      <c r="D300" s="17" t="s">
        <v>434</v>
      </c>
      <c r="E300" s="17"/>
      <c r="F300" s="32"/>
      <c r="G300" s="6"/>
      <c r="H300" s="6"/>
      <c r="I300" s="6"/>
      <c r="J300" s="6"/>
      <c r="K300" s="6"/>
      <c r="L300" s="6"/>
      <c r="M300" s="6"/>
      <c r="N300" s="6"/>
      <c r="O300" s="31"/>
      <c r="P300" s="32"/>
      <c r="Q300" s="6"/>
      <c r="R300" s="59"/>
      <c r="T300" s="182"/>
      <c r="U300" s="182"/>
      <c r="V300" s="1"/>
      <c r="W300" s="1"/>
      <c r="X300" s="1"/>
    </row>
    <row r="301" spans="2:24" ht="9.75" customHeight="1" x14ac:dyDescent="0.4">
      <c r="C301" s="17"/>
      <c r="D301" s="17" t="s">
        <v>369</v>
      </c>
      <c r="E301" s="17"/>
      <c r="F301" s="32"/>
      <c r="G301" s="6"/>
      <c r="H301" s="6"/>
      <c r="I301" s="6"/>
      <c r="J301" s="6"/>
      <c r="K301" s="6"/>
      <c r="L301" s="6"/>
      <c r="M301" s="6"/>
      <c r="N301" s="6"/>
      <c r="O301" s="31"/>
      <c r="P301" s="32"/>
      <c r="Q301" s="6"/>
      <c r="R301" s="59"/>
      <c r="T301" s="182"/>
      <c r="U301" s="182"/>
      <c r="V301" s="1"/>
      <c r="W301" s="1"/>
      <c r="X301" s="1"/>
    </row>
    <row r="302" spans="2:24" ht="9.75" customHeight="1" x14ac:dyDescent="0.4">
      <c r="C302" s="17"/>
      <c r="D302" s="17" t="s">
        <v>308</v>
      </c>
      <c r="E302" s="17"/>
      <c r="F302" s="32"/>
      <c r="G302" s="6"/>
      <c r="H302" s="6"/>
      <c r="I302" s="6"/>
      <c r="J302" s="6"/>
      <c r="K302" s="6"/>
      <c r="L302" s="6"/>
      <c r="M302" s="6"/>
      <c r="N302" s="6"/>
      <c r="O302" s="31"/>
      <c r="P302" s="32"/>
      <c r="Q302" s="6"/>
      <c r="R302" s="59"/>
      <c r="T302" s="182"/>
      <c r="U302" s="182"/>
      <c r="V302" s="1"/>
      <c r="W302" s="1"/>
      <c r="X302" s="1"/>
    </row>
    <row r="303" spans="2:24" ht="9.75" customHeight="1" x14ac:dyDescent="0.4">
      <c r="C303" s="17"/>
      <c r="D303" s="17" t="s">
        <v>372</v>
      </c>
      <c r="E303" s="17">
        <v>2</v>
      </c>
      <c r="F303" s="32">
        <v>1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1</v>
      </c>
      <c r="O303" s="31">
        <v>1</v>
      </c>
      <c r="P303" s="32">
        <f>MIN(F303:O303)</f>
        <v>0</v>
      </c>
      <c r="Q303" s="6">
        <f>E303-P303</f>
        <v>2</v>
      </c>
      <c r="R303" s="59">
        <f>Q303/E303</f>
        <v>1</v>
      </c>
      <c r="T303" s="182"/>
      <c r="U303" s="182"/>
      <c r="V303" s="1"/>
      <c r="W303" s="1"/>
      <c r="X303" s="1"/>
    </row>
    <row r="304" spans="2:24" ht="9.75" customHeight="1" x14ac:dyDescent="0.4">
      <c r="C304" s="17"/>
      <c r="D304" s="17" t="s">
        <v>374</v>
      </c>
      <c r="E304" s="17"/>
      <c r="F304" s="32"/>
      <c r="G304" s="6"/>
      <c r="H304" s="6"/>
      <c r="I304" s="6"/>
      <c r="J304" s="6"/>
      <c r="K304" s="6"/>
      <c r="L304" s="6"/>
      <c r="M304" s="6"/>
      <c r="N304" s="6"/>
      <c r="O304" s="31"/>
      <c r="P304" s="32"/>
      <c r="Q304" s="6"/>
      <c r="R304" s="59"/>
      <c r="T304" s="182"/>
      <c r="U304" s="182"/>
      <c r="V304" s="1"/>
      <c r="W304" s="1"/>
      <c r="X304" s="1"/>
    </row>
    <row r="305" spans="2:24" ht="9.75" customHeight="1" x14ac:dyDescent="0.4">
      <c r="C305" s="17"/>
      <c r="D305" s="17" t="s">
        <v>374</v>
      </c>
      <c r="E305" s="17"/>
      <c r="F305" s="32"/>
      <c r="G305" s="6"/>
      <c r="H305" s="6"/>
      <c r="I305" s="6"/>
      <c r="J305" s="6"/>
      <c r="K305" s="6"/>
      <c r="L305" s="6"/>
      <c r="M305" s="6"/>
      <c r="N305" s="6"/>
      <c r="O305" s="31"/>
      <c r="P305" s="32"/>
      <c r="Q305" s="6"/>
      <c r="R305" s="59"/>
      <c r="T305" s="182"/>
      <c r="U305" s="182"/>
      <c r="V305" s="1"/>
      <c r="W305" s="1"/>
      <c r="X305" s="1"/>
    </row>
    <row r="306" spans="2:24" ht="9.75" customHeight="1" x14ac:dyDescent="0.4">
      <c r="C306" s="17"/>
      <c r="D306" s="17" t="s">
        <v>374</v>
      </c>
      <c r="E306" s="17"/>
      <c r="F306" s="32"/>
      <c r="G306" s="6"/>
      <c r="H306" s="6"/>
      <c r="I306" s="6"/>
      <c r="J306" s="6"/>
      <c r="K306" s="6"/>
      <c r="L306" s="6"/>
      <c r="M306" s="6"/>
      <c r="N306" s="6"/>
      <c r="O306" s="31"/>
      <c r="P306" s="32"/>
      <c r="Q306" s="6"/>
      <c r="R306" s="59"/>
      <c r="T306" s="182"/>
      <c r="U306" s="182"/>
      <c r="V306" s="1"/>
      <c r="W306" s="1"/>
      <c r="X306" s="1"/>
    </row>
    <row r="307" spans="2:24" ht="9.75" customHeight="1" x14ac:dyDescent="0.4">
      <c r="C307" s="17"/>
      <c r="D307" s="17" t="s">
        <v>374</v>
      </c>
      <c r="E307" s="17"/>
      <c r="F307" s="32"/>
      <c r="G307" s="6"/>
      <c r="H307" s="6"/>
      <c r="I307" s="6"/>
      <c r="J307" s="6"/>
      <c r="K307" s="6"/>
      <c r="L307" s="6"/>
      <c r="M307" s="6"/>
      <c r="N307" s="6"/>
      <c r="O307" s="31"/>
      <c r="P307" s="32"/>
      <c r="Q307" s="6"/>
      <c r="R307" s="59"/>
      <c r="T307" s="182"/>
      <c r="U307" s="182"/>
      <c r="V307" s="1"/>
      <c r="W307" s="1"/>
      <c r="X307" s="1"/>
    </row>
    <row r="308" spans="2:24" ht="9.75" customHeight="1" x14ac:dyDescent="0.4">
      <c r="C308" s="17"/>
      <c r="D308" s="17" t="s">
        <v>374</v>
      </c>
      <c r="E308" s="17"/>
      <c r="F308" s="32"/>
      <c r="G308" s="6"/>
      <c r="H308" s="6"/>
      <c r="I308" s="6"/>
      <c r="J308" s="6"/>
      <c r="K308" s="6"/>
      <c r="L308" s="6"/>
      <c r="M308" s="6"/>
      <c r="N308" s="6"/>
      <c r="O308" s="31"/>
      <c r="P308" s="32"/>
      <c r="Q308" s="6"/>
      <c r="R308" s="59"/>
      <c r="T308" s="182"/>
      <c r="U308" s="182"/>
      <c r="V308" s="1"/>
      <c r="W308" s="1"/>
      <c r="X308" s="1"/>
    </row>
    <row r="309" spans="2:24" ht="9.75" customHeight="1" x14ac:dyDescent="0.4">
      <c r="C309" s="17"/>
      <c r="D309" s="17" t="s">
        <v>310</v>
      </c>
      <c r="E309" s="17"/>
      <c r="F309" s="32"/>
      <c r="G309" s="6"/>
      <c r="H309" s="6"/>
      <c r="I309" s="6"/>
      <c r="J309" s="6"/>
      <c r="K309" s="6"/>
      <c r="L309" s="6"/>
      <c r="M309" s="6"/>
      <c r="N309" s="6"/>
      <c r="O309" s="31"/>
      <c r="P309" s="32"/>
      <c r="Q309" s="6"/>
      <c r="R309" s="59"/>
      <c r="T309" s="182"/>
      <c r="U309" s="182"/>
      <c r="V309" s="1"/>
      <c r="W309" s="1"/>
      <c r="X309" s="1"/>
    </row>
    <row r="310" spans="2:24" ht="9.75" customHeight="1" x14ac:dyDescent="0.4">
      <c r="C310" s="17"/>
      <c r="D310" s="17" t="s">
        <v>311</v>
      </c>
      <c r="E310" s="17"/>
      <c r="F310" s="32"/>
      <c r="G310" s="6"/>
      <c r="H310" s="6"/>
      <c r="I310" s="6"/>
      <c r="J310" s="6"/>
      <c r="K310" s="6"/>
      <c r="L310" s="6"/>
      <c r="M310" s="6"/>
      <c r="N310" s="6"/>
      <c r="O310" s="31"/>
      <c r="P310" s="32"/>
      <c r="Q310" s="6"/>
      <c r="R310" s="59"/>
      <c r="T310" s="182"/>
      <c r="U310" s="182"/>
      <c r="V310" s="1"/>
      <c r="W310" s="1"/>
      <c r="X310" s="1"/>
    </row>
    <row r="311" spans="2:24" ht="9.75" customHeight="1" x14ac:dyDescent="0.4">
      <c r="C311" s="17"/>
      <c r="D311" s="17" t="s">
        <v>312</v>
      </c>
      <c r="E311" s="17"/>
      <c r="F311" s="32"/>
      <c r="G311" s="6"/>
      <c r="H311" s="6"/>
      <c r="I311" s="6"/>
      <c r="J311" s="6"/>
      <c r="K311" s="6"/>
      <c r="L311" s="6"/>
      <c r="M311" s="6"/>
      <c r="N311" s="6"/>
      <c r="O311" s="31"/>
      <c r="P311" s="32"/>
      <c r="Q311" s="6"/>
      <c r="R311" s="59"/>
      <c r="T311" s="182"/>
      <c r="U311" s="182"/>
      <c r="V311" s="1"/>
      <c r="W311" s="1"/>
      <c r="X311" s="1"/>
    </row>
    <row r="312" spans="2:24" ht="9.75" customHeight="1" x14ac:dyDescent="0.4">
      <c r="C312" s="17"/>
      <c r="D312" s="17" t="s">
        <v>313</v>
      </c>
      <c r="E312" s="17"/>
      <c r="F312" s="32"/>
      <c r="G312" s="6"/>
      <c r="H312" s="6"/>
      <c r="I312" s="6"/>
      <c r="J312" s="6"/>
      <c r="K312" s="6"/>
      <c r="L312" s="6"/>
      <c r="M312" s="6"/>
      <c r="N312" s="6"/>
      <c r="O312" s="31"/>
      <c r="P312" s="32"/>
      <c r="Q312" s="6"/>
      <c r="R312" s="59"/>
      <c r="T312" s="182"/>
      <c r="U312" s="182"/>
      <c r="V312" s="1"/>
      <c r="W312" s="1"/>
      <c r="X312" s="1"/>
    </row>
    <row r="313" spans="2:24" ht="9.75" customHeight="1" x14ac:dyDescent="0.4">
      <c r="B313" s="219" t="s">
        <v>395</v>
      </c>
      <c r="C313" s="34"/>
      <c r="D313" s="104" t="s">
        <v>314</v>
      </c>
      <c r="E313" s="104">
        <f t="shared" ref="E313:O313" si="62">SUM(E297:E312)</f>
        <v>224</v>
      </c>
      <c r="F313" s="104">
        <f t="shared" si="62"/>
        <v>88</v>
      </c>
      <c r="G313" s="128">
        <f t="shared" si="62"/>
        <v>38</v>
      </c>
      <c r="H313" s="128">
        <f t="shared" si="62"/>
        <v>19</v>
      </c>
      <c r="I313" s="128">
        <f t="shared" si="62"/>
        <v>20</v>
      </c>
      <c r="J313" s="128">
        <f t="shared" si="62"/>
        <v>16</v>
      </c>
      <c r="K313" s="128">
        <f t="shared" si="62"/>
        <v>18</v>
      </c>
      <c r="L313" s="128">
        <f t="shared" si="62"/>
        <v>22</v>
      </c>
      <c r="M313" s="128">
        <f t="shared" si="62"/>
        <v>27</v>
      </c>
      <c r="N313" s="128">
        <f t="shared" si="62"/>
        <v>48</v>
      </c>
      <c r="O313" s="129">
        <f t="shared" si="62"/>
        <v>56</v>
      </c>
      <c r="P313" s="128">
        <f>MIN(F313:O313)</f>
        <v>16</v>
      </c>
      <c r="Q313" s="128">
        <f>E313-P313</f>
        <v>208</v>
      </c>
      <c r="R313" s="72">
        <f>Q313/E313</f>
        <v>0.9285714285714286</v>
      </c>
      <c r="T313" s="182"/>
      <c r="U313" s="182"/>
      <c r="V313" s="1"/>
      <c r="W313" s="1"/>
      <c r="X313" s="1"/>
    </row>
    <row r="314" spans="2:24" ht="9.75" customHeight="1" x14ac:dyDescent="0.4">
      <c r="C314" s="15" t="s">
        <v>217</v>
      </c>
      <c r="D314" s="15" t="s">
        <v>300</v>
      </c>
      <c r="E314" s="17"/>
      <c r="F314" s="32"/>
      <c r="G314" s="6"/>
      <c r="H314" s="6"/>
      <c r="I314" s="6"/>
      <c r="J314" s="6"/>
      <c r="K314" s="6"/>
      <c r="L314" s="6"/>
      <c r="M314" s="6"/>
      <c r="N314" s="6"/>
      <c r="O314" s="31"/>
      <c r="P314" s="73"/>
      <c r="Q314" s="108"/>
      <c r="R314" s="188"/>
      <c r="T314" s="182"/>
      <c r="U314" s="182"/>
      <c r="V314" s="1"/>
      <c r="W314" s="1"/>
      <c r="X314" s="1"/>
    </row>
    <row r="315" spans="2:24" ht="9.75" customHeight="1" x14ac:dyDescent="0.4">
      <c r="C315" s="17"/>
      <c r="D315" s="17" t="s">
        <v>301</v>
      </c>
      <c r="E315" s="32">
        <v>130</v>
      </c>
      <c r="F315" s="32">
        <v>121</v>
      </c>
      <c r="G315" s="6">
        <v>104</v>
      </c>
      <c r="H315" s="6">
        <v>92</v>
      </c>
      <c r="I315" s="6">
        <v>90</v>
      </c>
      <c r="J315" s="6">
        <v>93</v>
      </c>
      <c r="K315" s="6">
        <v>95</v>
      </c>
      <c r="L315" s="6">
        <v>17</v>
      </c>
      <c r="M315" s="6">
        <v>17</v>
      </c>
      <c r="N315" s="6">
        <v>23</v>
      </c>
      <c r="O315" s="31">
        <v>27</v>
      </c>
      <c r="P315" s="32">
        <f>MIN(F315:O315)</f>
        <v>17</v>
      </c>
      <c r="Q315" s="6">
        <f>E315-P315</f>
        <v>113</v>
      </c>
      <c r="R315" s="59">
        <f>Q315/E315</f>
        <v>0.86923076923076925</v>
      </c>
      <c r="T315" s="182"/>
      <c r="U315" s="182"/>
      <c r="V315" s="1"/>
      <c r="W315" s="1"/>
      <c r="X315" s="1"/>
    </row>
    <row r="316" spans="2:24" ht="9.75" customHeight="1" x14ac:dyDescent="0.4">
      <c r="C316" s="17"/>
      <c r="D316" s="17" t="s">
        <v>303</v>
      </c>
      <c r="E316" s="17"/>
      <c r="F316" s="32"/>
      <c r="G316" s="6"/>
      <c r="H316" s="6"/>
      <c r="I316" s="6"/>
      <c r="J316" s="6"/>
      <c r="K316" s="6"/>
      <c r="L316" s="6"/>
      <c r="M316" s="6"/>
      <c r="N316" s="6"/>
      <c r="O316" s="31"/>
      <c r="P316" s="32"/>
      <c r="Q316" s="6"/>
      <c r="R316" s="59"/>
      <c r="T316" s="182"/>
      <c r="U316" s="182"/>
      <c r="V316" s="1"/>
      <c r="W316" s="1"/>
      <c r="X316" s="1"/>
    </row>
    <row r="317" spans="2:24" ht="9.75" customHeight="1" x14ac:dyDescent="0.4">
      <c r="C317" s="17"/>
      <c r="D317" s="17" t="s">
        <v>369</v>
      </c>
      <c r="E317" s="17"/>
      <c r="F317" s="32"/>
      <c r="G317" s="6"/>
      <c r="H317" s="6"/>
      <c r="I317" s="6"/>
      <c r="J317" s="6"/>
      <c r="K317" s="6"/>
      <c r="L317" s="6"/>
      <c r="M317" s="6"/>
      <c r="N317" s="6"/>
      <c r="O317" s="31"/>
      <c r="P317" s="32"/>
      <c r="Q317" s="6"/>
      <c r="R317" s="59"/>
      <c r="T317" s="182"/>
      <c r="U317" s="182"/>
      <c r="V317" s="1"/>
      <c r="W317" s="1"/>
      <c r="X317" s="1"/>
    </row>
    <row r="318" spans="2:24" ht="9.75" customHeight="1" x14ac:dyDescent="0.4">
      <c r="C318" s="17"/>
      <c r="D318" s="17" t="s">
        <v>369</v>
      </c>
      <c r="E318" s="17"/>
      <c r="F318" s="32"/>
      <c r="G318" s="6"/>
      <c r="H318" s="6"/>
      <c r="I318" s="6"/>
      <c r="J318" s="6"/>
      <c r="K318" s="6"/>
      <c r="L318" s="6"/>
      <c r="M318" s="6"/>
      <c r="N318" s="6"/>
      <c r="O318" s="31"/>
      <c r="P318" s="32"/>
      <c r="Q318" s="6"/>
      <c r="R318" s="59"/>
      <c r="T318" s="182"/>
      <c r="U318" s="182"/>
      <c r="V318" s="1"/>
      <c r="W318" s="1"/>
      <c r="X318" s="1"/>
    </row>
    <row r="319" spans="2:24" ht="9.75" customHeight="1" x14ac:dyDescent="0.4">
      <c r="C319" s="17"/>
      <c r="D319" s="17" t="s">
        <v>308</v>
      </c>
      <c r="E319" s="17"/>
      <c r="F319" s="32"/>
      <c r="G319" s="6"/>
      <c r="H319" s="6"/>
      <c r="I319" s="6"/>
      <c r="J319" s="6"/>
      <c r="K319" s="6"/>
      <c r="L319" s="6"/>
      <c r="M319" s="6"/>
      <c r="N319" s="6"/>
      <c r="O319" s="31"/>
      <c r="P319" s="32"/>
      <c r="Q319" s="6"/>
      <c r="R319" s="59"/>
      <c r="T319" s="182"/>
      <c r="U319" s="182"/>
      <c r="V319" s="1"/>
      <c r="W319" s="1"/>
      <c r="X319" s="1"/>
    </row>
    <row r="320" spans="2:24" ht="9.75" customHeight="1" x14ac:dyDescent="0.4">
      <c r="C320" s="17"/>
      <c r="D320" s="17" t="s">
        <v>372</v>
      </c>
      <c r="E320" s="17">
        <v>24</v>
      </c>
      <c r="F320" s="32">
        <v>12</v>
      </c>
      <c r="G320" s="6">
        <v>12</v>
      </c>
      <c r="H320" s="6">
        <v>13</v>
      </c>
      <c r="I320" s="6">
        <v>12</v>
      </c>
      <c r="J320" s="6">
        <v>13</v>
      </c>
      <c r="K320" s="6">
        <v>14</v>
      </c>
      <c r="L320" s="6">
        <v>12</v>
      </c>
      <c r="M320" s="6">
        <v>12</v>
      </c>
      <c r="N320" s="6">
        <v>17</v>
      </c>
      <c r="O320" s="31">
        <v>20</v>
      </c>
      <c r="P320" s="32">
        <f>MIN(F320:O320)</f>
        <v>12</v>
      </c>
      <c r="Q320" s="6">
        <f>E320-P320</f>
        <v>12</v>
      </c>
      <c r="R320" s="59">
        <f>Q320/E320</f>
        <v>0.5</v>
      </c>
      <c r="T320" s="182"/>
      <c r="U320" s="182"/>
      <c r="V320" s="1"/>
      <c r="W320" s="1"/>
      <c r="X320" s="1"/>
    </row>
    <row r="321" spans="2:24" ht="9.75" customHeight="1" x14ac:dyDescent="0.4">
      <c r="C321" s="17"/>
      <c r="D321" s="17" t="s">
        <v>374</v>
      </c>
      <c r="E321" s="17"/>
      <c r="F321" s="32"/>
      <c r="G321" s="6"/>
      <c r="H321" s="6"/>
      <c r="I321" s="6"/>
      <c r="J321" s="6"/>
      <c r="K321" s="6"/>
      <c r="L321" s="6"/>
      <c r="M321" s="6"/>
      <c r="N321" s="6"/>
      <c r="O321" s="31"/>
      <c r="P321" s="32"/>
      <c r="Q321" s="6"/>
      <c r="R321" s="59"/>
      <c r="T321" s="182"/>
      <c r="U321" s="182"/>
      <c r="V321" s="1"/>
      <c r="W321" s="1"/>
      <c r="X321" s="1"/>
    </row>
    <row r="322" spans="2:24" ht="9.75" customHeight="1" x14ac:dyDescent="0.4">
      <c r="C322" s="17"/>
      <c r="D322" s="17" t="s">
        <v>374</v>
      </c>
      <c r="E322" s="17"/>
      <c r="F322" s="32"/>
      <c r="G322" s="6"/>
      <c r="H322" s="6"/>
      <c r="I322" s="6"/>
      <c r="J322" s="6"/>
      <c r="K322" s="6"/>
      <c r="L322" s="6"/>
      <c r="M322" s="6"/>
      <c r="N322" s="6"/>
      <c r="O322" s="31"/>
      <c r="P322" s="32"/>
      <c r="Q322" s="6"/>
      <c r="R322" s="59"/>
      <c r="T322" s="182"/>
      <c r="U322" s="182"/>
      <c r="V322" s="1"/>
      <c r="W322" s="1"/>
      <c r="X322" s="1"/>
    </row>
    <row r="323" spans="2:24" ht="9.75" customHeight="1" x14ac:dyDescent="0.4">
      <c r="C323" s="17"/>
      <c r="D323" s="17" t="s">
        <v>374</v>
      </c>
      <c r="E323" s="17"/>
      <c r="F323" s="32"/>
      <c r="G323" s="6"/>
      <c r="H323" s="6"/>
      <c r="I323" s="6"/>
      <c r="J323" s="6"/>
      <c r="K323" s="6"/>
      <c r="L323" s="6"/>
      <c r="M323" s="6"/>
      <c r="N323" s="6"/>
      <c r="O323" s="31"/>
      <c r="P323" s="32"/>
      <c r="Q323" s="6"/>
      <c r="R323" s="59"/>
      <c r="T323" s="182"/>
      <c r="U323" s="182"/>
      <c r="V323" s="1"/>
      <c r="W323" s="1"/>
      <c r="X323" s="1"/>
    </row>
    <row r="324" spans="2:24" ht="9.75" customHeight="1" x14ac:dyDescent="0.4">
      <c r="C324" s="17"/>
      <c r="D324" s="17" t="s">
        <v>374</v>
      </c>
      <c r="E324" s="17"/>
      <c r="F324" s="32"/>
      <c r="G324" s="6"/>
      <c r="H324" s="6"/>
      <c r="I324" s="6"/>
      <c r="J324" s="6"/>
      <c r="K324" s="6"/>
      <c r="L324" s="6"/>
      <c r="M324" s="6"/>
      <c r="N324" s="6"/>
      <c r="O324" s="31"/>
      <c r="P324" s="32"/>
      <c r="Q324" s="6"/>
      <c r="R324" s="59"/>
      <c r="T324" s="182"/>
      <c r="U324" s="182"/>
      <c r="V324" s="1"/>
      <c r="W324" s="1"/>
      <c r="X324" s="1"/>
    </row>
    <row r="325" spans="2:24" ht="9.75" customHeight="1" x14ac:dyDescent="0.4">
      <c r="C325" s="17"/>
      <c r="D325" s="17" t="s">
        <v>374</v>
      </c>
      <c r="E325" s="17"/>
      <c r="F325" s="32"/>
      <c r="G325" s="6"/>
      <c r="H325" s="6"/>
      <c r="I325" s="6"/>
      <c r="J325" s="6"/>
      <c r="K325" s="6"/>
      <c r="L325" s="6"/>
      <c r="M325" s="6"/>
      <c r="N325" s="6"/>
      <c r="O325" s="31"/>
      <c r="P325" s="32"/>
      <c r="Q325" s="6"/>
      <c r="R325" s="59"/>
      <c r="T325" s="182"/>
      <c r="U325" s="182"/>
      <c r="V325" s="1"/>
      <c r="W325" s="1"/>
      <c r="X325" s="1"/>
    </row>
    <row r="326" spans="2:24" ht="9.75" customHeight="1" x14ac:dyDescent="0.4">
      <c r="C326" s="17"/>
      <c r="D326" s="17" t="s">
        <v>310</v>
      </c>
      <c r="E326" s="17"/>
      <c r="F326" s="32"/>
      <c r="G326" s="6"/>
      <c r="H326" s="6"/>
      <c r="I326" s="6"/>
      <c r="J326" s="6"/>
      <c r="K326" s="6"/>
      <c r="L326" s="6"/>
      <c r="M326" s="6"/>
      <c r="N326" s="6"/>
      <c r="O326" s="31"/>
      <c r="P326" s="32"/>
      <c r="Q326" s="6"/>
      <c r="R326" s="59"/>
      <c r="T326" s="182"/>
      <c r="U326" s="182"/>
      <c r="V326" s="1"/>
      <c r="W326" s="1"/>
      <c r="X326" s="1"/>
    </row>
    <row r="327" spans="2:24" ht="9.75" customHeight="1" x14ac:dyDescent="0.4">
      <c r="C327" s="17"/>
      <c r="D327" s="17" t="s">
        <v>311</v>
      </c>
      <c r="E327" s="17"/>
      <c r="F327" s="32"/>
      <c r="G327" s="6"/>
      <c r="H327" s="6"/>
      <c r="I327" s="6"/>
      <c r="J327" s="6"/>
      <c r="K327" s="6"/>
      <c r="L327" s="6"/>
      <c r="M327" s="6"/>
      <c r="N327" s="6"/>
      <c r="O327" s="31"/>
      <c r="P327" s="32"/>
      <c r="Q327" s="6"/>
      <c r="R327" s="59"/>
      <c r="T327" s="182"/>
      <c r="U327" s="182"/>
      <c r="V327" s="1"/>
      <c r="W327" s="1"/>
      <c r="X327" s="1"/>
    </row>
    <row r="328" spans="2:24" ht="9.75" customHeight="1" x14ac:dyDescent="0.4">
      <c r="C328" s="17"/>
      <c r="D328" s="17" t="s">
        <v>312</v>
      </c>
      <c r="E328" s="17"/>
      <c r="F328" s="32"/>
      <c r="G328" s="6"/>
      <c r="H328" s="6"/>
      <c r="I328" s="6"/>
      <c r="J328" s="6"/>
      <c r="K328" s="6"/>
      <c r="L328" s="6"/>
      <c r="M328" s="6"/>
      <c r="N328" s="6"/>
      <c r="O328" s="31"/>
      <c r="P328" s="32"/>
      <c r="Q328" s="6"/>
      <c r="R328" s="59"/>
      <c r="T328" s="182"/>
      <c r="U328" s="182"/>
      <c r="V328" s="1"/>
      <c r="W328" s="1"/>
      <c r="X328" s="1"/>
    </row>
    <row r="329" spans="2:24" ht="9.75" customHeight="1" x14ac:dyDescent="0.4">
      <c r="C329" s="17"/>
      <c r="D329" s="17" t="s">
        <v>313</v>
      </c>
      <c r="E329" s="17"/>
      <c r="F329" s="32"/>
      <c r="G329" s="6"/>
      <c r="H329" s="6"/>
      <c r="I329" s="6"/>
      <c r="J329" s="6"/>
      <c r="K329" s="6"/>
      <c r="L329" s="6"/>
      <c r="M329" s="6"/>
      <c r="N329" s="6"/>
      <c r="O329" s="31"/>
      <c r="P329" s="32"/>
      <c r="Q329" s="6"/>
      <c r="R329" s="59"/>
      <c r="T329" s="182"/>
      <c r="U329" s="182"/>
      <c r="V329" s="1"/>
      <c r="W329" s="1"/>
      <c r="X329" s="1"/>
    </row>
    <row r="330" spans="2:24" ht="9.75" customHeight="1" x14ac:dyDescent="0.4">
      <c r="B330" s="219" t="s">
        <v>395</v>
      </c>
      <c r="C330" s="34"/>
      <c r="D330" s="104" t="s">
        <v>314</v>
      </c>
      <c r="E330" s="104">
        <f t="shared" ref="E330:O330" si="63">SUM(E314:E329)</f>
        <v>154</v>
      </c>
      <c r="F330" s="104">
        <f t="shared" si="63"/>
        <v>133</v>
      </c>
      <c r="G330" s="128">
        <f t="shared" si="63"/>
        <v>116</v>
      </c>
      <c r="H330" s="128">
        <f t="shared" si="63"/>
        <v>105</v>
      </c>
      <c r="I330" s="128">
        <f t="shared" si="63"/>
        <v>102</v>
      </c>
      <c r="J330" s="128">
        <f t="shared" si="63"/>
        <v>106</v>
      </c>
      <c r="K330" s="128">
        <f t="shared" si="63"/>
        <v>109</v>
      </c>
      <c r="L330" s="128">
        <f t="shared" si="63"/>
        <v>29</v>
      </c>
      <c r="M330" s="128">
        <f t="shared" si="63"/>
        <v>29</v>
      </c>
      <c r="N330" s="128">
        <f t="shared" si="63"/>
        <v>40</v>
      </c>
      <c r="O330" s="129">
        <f t="shared" si="63"/>
        <v>47</v>
      </c>
      <c r="P330" s="128">
        <f>MIN(F330:O330)</f>
        <v>29</v>
      </c>
      <c r="Q330" s="128">
        <f>E330-P330</f>
        <v>125</v>
      </c>
      <c r="R330" s="72">
        <f>Q330/E330</f>
        <v>0.81168831168831168</v>
      </c>
      <c r="T330" s="182"/>
      <c r="U330" s="182"/>
      <c r="V330" s="1"/>
      <c r="W330" s="1"/>
      <c r="X330" s="1"/>
    </row>
    <row r="331" spans="2:24" ht="9.75" customHeight="1" x14ac:dyDescent="0.4">
      <c r="C331" s="15" t="s">
        <v>222</v>
      </c>
      <c r="D331" s="15" t="s">
        <v>300</v>
      </c>
      <c r="E331" s="17"/>
      <c r="F331" s="32"/>
      <c r="G331" s="6"/>
      <c r="H331" s="6"/>
      <c r="I331" s="6"/>
      <c r="J331" s="6"/>
      <c r="K331" s="6"/>
      <c r="L331" s="6"/>
      <c r="M331" s="6"/>
      <c r="N331" s="6"/>
      <c r="O331" s="31"/>
      <c r="P331" s="73"/>
      <c r="Q331" s="108"/>
      <c r="R331" s="188"/>
      <c r="T331" s="182"/>
      <c r="U331" s="182"/>
      <c r="V331" s="1"/>
      <c r="W331" s="1"/>
      <c r="X331" s="1"/>
    </row>
    <row r="332" spans="2:24" ht="9.75" customHeight="1" x14ac:dyDescent="0.4">
      <c r="C332" s="17"/>
      <c r="D332" s="17" t="s">
        <v>301</v>
      </c>
      <c r="E332" s="17">
        <v>99</v>
      </c>
      <c r="F332" s="32">
        <v>94</v>
      </c>
      <c r="G332" s="6">
        <v>91</v>
      </c>
      <c r="H332" s="6">
        <v>86</v>
      </c>
      <c r="I332" s="6">
        <v>87</v>
      </c>
      <c r="J332" s="6">
        <v>89</v>
      </c>
      <c r="K332" s="6">
        <v>84</v>
      </c>
      <c r="L332" s="6">
        <v>86</v>
      </c>
      <c r="M332" s="6">
        <v>86</v>
      </c>
      <c r="N332" s="6">
        <v>86</v>
      </c>
      <c r="O332" s="31"/>
      <c r="P332" s="32">
        <f>MIN(F332:O332)</f>
        <v>84</v>
      </c>
      <c r="Q332" s="6">
        <f>E332-P332</f>
        <v>15</v>
      </c>
      <c r="R332" s="59">
        <f>Q332/E332</f>
        <v>0.15151515151515152</v>
      </c>
      <c r="T332" s="182"/>
      <c r="U332" s="182"/>
      <c r="V332" s="1"/>
      <c r="W332" s="1"/>
      <c r="X332" s="1"/>
    </row>
    <row r="333" spans="2:24" ht="9.75" customHeight="1" x14ac:dyDescent="0.4">
      <c r="C333" s="17"/>
      <c r="D333" s="17" t="s">
        <v>303</v>
      </c>
      <c r="E333" s="17"/>
      <c r="F333" s="32"/>
      <c r="G333" s="6"/>
      <c r="H333" s="6"/>
      <c r="I333" s="6"/>
      <c r="J333" s="6"/>
      <c r="K333" s="6"/>
      <c r="L333" s="6"/>
      <c r="M333" s="6"/>
      <c r="N333" s="6"/>
      <c r="O333" s="31"/>
      <c r="P333" s="32"/>
      <c r="Q333" s="6"/>
      <c r="R333" s="59"/>
      <c r="T333" s="182"/>
      <c r="U333" s="182"/>
      <c r="V333" s="1"/>
      <c r="W333" s="1"/>
      <c r="X333" s="1"/>
    </row>
    <row r="334" spans="2:24" ht="9.75" customHeight="1" x14ac:dyDescent="0.4">
      <c r="C334" s="17"/>
      <c r="D334" s="17" t="s">
        <v>369</v>
      </c>
      <c r="E334" s="17"/>
      <c r="F334" s="32"/>
      <c r="G334" s="6"/>
      <c r="H334" s="6"/>
      <c r="I334" s="6"/>
      <c r="J334" s="6"/>
      <c r="K334" s="6"/>
      <c r="L334" s="6"/>
      <c r="M334" s="6"/>
      <c r="N334" s="6"/>
      <c r="O334" s="31"/>
      <c r="P334" s="32"/>
      <c r="Q334" s="6"/>
      <c r="R334" s="59"/>
      <c r="T334" s="182"/>
      <c r="U334" s="182"/>
      <c r="V334" s="1"/>
      <c r="W334" s="1"/>
      <c r="X334" s="1"/>
    </row>
    <row r="335" spans="2:24" ht="9.75" customHeight="1" x14ac:dyDescent="0.4">
      <c r="C335" s="17"/>
      <c r="D335" s="17" t="s">
        <v>369</v>
      </c>
      <c r="E335" s="17"/>
      <c r="F335" s="32"/>
      <c r="G335" s="6"/>
      <c r="H335" s="6"/>
      <c r="I335" s="6"/>
      <c r="J335" s="6"/>
      <c r="K335" s="6"/>
      <c r="L335" s="6"/>
      <c r="M335" s="6"/>
      <c r="N335" s="6"/>
      <c r="O335" s="31"/>
      <c r="P335" s="32"/>
      <c r="Q335" s="6"/>
      <c r="R335" s="59"/>
      <c r="T335" s="182"/>
      <c r="U335" s="182"/>
      <c r="V335" s="1"/>
      <c r="W335" s="1"/>
      <c r="X335" s="1"/>
    </row>
    <row r="336" spans="2:24" ht="9.75" customHeight="1" x14ac:dyDescent="0.4">
      <c r="C336" s="17"/>
      <c r="D336" s="17" t="s">
        <v>308</v>
      </c>
      <c r="E336" s="17"/>
      <c r="F336" s="32"/>
      <c r="G336" s="6"/>
      <c r="H336" s="6"/>
      <c r="I336" s="6"/>
      <c r="J336" s="6"/>
      <c r="K336" s="6"/>
      <c r="L336" s="6"/>
      <c r="M336" s="6"/>
      <c r="N336" s="6"/>
      <c r="O336" s="31"/>
      <c r="P336" s="32"/>
      <c r="Q336" s="6"/>
      <c r="R336" s="59"/>
      <c r="T336" s="182"/>
      <c r="U336" s="182"/>
      <c r="V336" s="1"/>
      <c r="W336" s="1"/>
      <c r="X336" s="1"/>
    </row>
    <row r="337" spans="2:24" ht="9.75" customHeight="1" x14ac:dyDescent="0.4">
      <c r="C337" s="17"/>
      <c r="D337" s="17" t="s">
        <v>374</v>
      </c>
      <c r="E337" s="17"/>
      <c r="F337" s="32"/>
      <c r="G337" s="6"/>
      <c r="H337" s="6"/>
      <c r="I337" s="6"/>
      <c r="J337" s="6"/>
      <c r="K337" s="6"/>
      <c r="L337" s="6"/>
      <c r="M337" s="6"/>
      <c r="N337" s="6"/>
      <c r="O337" s="31"/>
      <c r="P337" s="32"/>
      <c r="Q337" s="6"/>
      <c r="R337" s="59"/>
      <c r="T337" s="182"/>
      <c r="U337" s="182"/>
      <c r="V337" s="1"/>
      <c r="W337" s="1"/>
      <c r="X337" s="1"/>
    </row>
    <row r="338" spans="2:24" ht="9.75" customHeight="1" x14ac:dyDescent="0.4">
      <c r="C338" s="17"/>
      <c r="D338" s="17" t="s">
        <v>374</v>
      </c>
      <c r="E338" s="17"/>
      <c r="F338" s="32"/>
      <c r="G338" s="6"/>
      <c r="H338" s="6"/>
      <c r="I338" s="6"/>
      <c r="J338" s="6"/>
      <c r="K338" s="6"/>
      <c r="L338" s="6"/>
      <c r="M338" s="6"/>
      <c r="N338" s="6"/>
      <c r="O338" s="31"/>
      <c r="P338" s="32"/>
      <c r="Q338" s="6"/>
      <c r="R338" s="59"/>
      <c r="T338" s="182"/>
      <c r="U338" s="182"/>
      <c r="V338" s="1"/>
      <c r="W338" s="1"/>
      <c r="X338" s="1"/>
    </row>
    <row r="339" spans="2:24" ht="9.75" customHeight="1" x14ac:dyDescent="0.4">
      <c r="C339" s="17"/>
      <c r="D339" s="17" t="s">
        <v>374</v>
      </c>
      <c r="E339" s="17"/>
      <c r="F339" s="32"/>
      <c r="G339" s="6"/>
      <c r="H339" s="6"/>
      <c r="I339" s="6"/>
      <c r="J339" s="6"/>
      <c r="K339" s="6"/>
      <c r="L339" s="6"/>
      <c r="M339" s="6"/>
      <c r="N339" s="6"/>
      <c r="O339" s="31"/>
      <c r="P339" s="32"/>
      <c r="Q339" s="6"/>
      <c r="R339" s="59"/>
      <c r="T339" s="182"/>
      <c r="U339" s="182"/>
      <c r="V339" s="1"/>
      <c r="W339" s="1"/>
      <c r="X339" s="1"/>
    </row>
    <row r="340" spans="2:24" ht="9.75" customHeight="1" x14ac:dyDescent="0.4">
      <c r="C340" s="17"/>
      <c r="D340" s="17" t="s">
        <v>374</v>
      </c>
      <c r="E340" s="17"/>
      <c r="F340" s="32"/>
      <c r="G340" s="6"/>
      <c r="H340" s="6"/>
      <c r="I340" s="6"/>
      <c r="J340" s="6"/>
      <c r="K340" s="6"/>
      <c r="L340" s="6"/>
      <c r="M340" s="6"/>
      <c r="N340" s="6"/>
      <c r="O340" s="31"/>
      <c r="P340" s="32"/>
      <c r="Q340" s="6"/>
      <c r="R340" s="59"/>
      <c r="T340" s="182"/>
      <c r="U340" s="182"/>
      <c r="V340" s="1"/>
      <c r="W340" s="1"/>
      <c r="X340" s="1"/>
    </row>
    <row r="341" spans="2:24" ht="9.75" customHeight="1" x14ac:dyDescent="0.4">
      <c r="C341" s="17"/>
      <c r="D341" s="17" t="s">
        <v>374</v>
      </c>
      <c r="E341" s="17"/>
      <c r="F341" s="32"/>
      <c r="G341" s="6"/>
      <c r="H341" s="6"/>
      <c r="I341" s="6"/>
      <c r="J341" s="6"/>
      <c r="K341" s="6"/>
      <c r="L341" s="6"/>
      <c r="M341" s="6"/>
      <c r="N341" s="6"/>
      <c r="O341" s="31"/>
      <c r="P341" s="32"/>
      <c r="Q341" s="6"/>
      <c r="R341" s="59"/>
      <c r="T341" s="182"/>
      <c r="U341" s="182"/>
      <c r="V341" s="1"/>
      <c r="W341" s="1"/>
      <c r="X341" s="1"/>
    </row>
    <row r="342" spans="2:24" ht="9.75" customHeight="1" x14ac:dyDescent="0.4">
      <c r="C342" s="17"/>
      <c r="D342" s="17" t="s">
        <v>374</v>
      </c>
      <c r="E342" s="17"/>
      <c r="F342" s="32"/>
      <c r="G342" s="6"/>
      <c r="H342" s="6"/>
      <c r="I342" s="6"/>
      <c r="J342" s="6"/>
      <c r="K342" s="6"/>
      <c r="L342" s="6"/>
      <c r="M342" s="6"/>
      <c r="N342" s="6"/>
      <c r="O342" s="31"/>
      <c r="P342" s="32"/>
      <c r="Q342" s="6"/>
      <c r="R342" s="59"/>
      <c r="T342" s="182"/>
      <c r="U342" s="182"/>
      <c r="V342" s="1"/>
      <c r="W342" s="1"/>
      <c r="X342" s="1"/>
    </row>
    <row r="343" spans="2:24" ht="9.75" customHeight="1" x14ac:dyDescent="0.4">
      <c r="C343" s="17"/>
      <c r="D343" s="17" t="s">
        <v>310</v>
      </c>
      <c r="E343" s="17"/>
      <c r="F343" s="32"/>
      <c r="G343" s="6"/>
      <c r="H343" s="6"/>
      <c r="I343" s="6"/>
      <c r="J343" s="6"/>
      <c r="K343" s="6"/>
      <c r="L343" s="6"/>
      <c r="M343" s="6"/>
      <c r="N343" s="6"/>
      <c r="O343" s="31"/>
      <c r="P343" s="32"/>
      <c r="Q343" s="6"/>
      <c r="R343" s="59"/>
      <c r="T343" s="182"/>
      <c r="U343" s="182"/>
      <c r="V343" s="1"/>
      <c r="W343" s="1"/>
      <c r="X343" s="1"/>
    </row>
    <row r="344" spans="2:24" ht="9.75" customHeight="1" x14ac:dyDescent="0.4">
      <c r="C344" s="17"/>
      <c r="D344" s="17" t="s">
        <v>311</v>
      </c>
      <c r="E344" s="17"/>
      <c r="F344" s="32"/>
      <c r="G344" s="6"/>
      <c r="H344" s="6"/>
      <c r="I344" s="6"/>
      <c r="J344" s="6"/>
      <c r="K344" s="6"/>
      <c r="L344" s="6"/>
      <c r="M344" s="6"/>
      <c r="N344" s="6"/>
      <c r="O344" s="31"/>
      <c r="P344" s="32"/>
      <c r="Q344" s="6"/>
      <c r="R344" s="59"/>
      <c r="T344" s="182"/>
      <c r="U344" s="182"/>
      <c r="V344" s="1"/>
      <c r="W344" s="1"/>
      <c r="X344" s="1"/>
    </row>
    <row r="345" spans="2:24" ht="9.75" customHeight="1" x14ac:dyDescent="0.4">
      <c r="C345" s="17"/>
      <c r="D345" s="17" t="s">
        <v>312</v>
      </c>
      <c r="E345" s="17"/>
      <c r="F345" s="32"/>
      <c r="G345" s="6"/>
      <c r="H345" s="6"/>
      <c r="I345" s="6"/>
      <c r="J345" s="6"/>
      <c r="K345" s="6"/>
      <c r="L345" s="6"/>
      <c r="M345" s="6"/>
      <c r="N345" s="6"/>
      <c r="O345" s="31"/>
      <c r="P345" s="32"/>
      <c r="Q345" s="6"/>
      <c r="R345" s="59"/>
      <c r="T345" s="182"/>
      <c r="U345" s="182"/>
      <c r="V345" s="1"/>
      <c r="W345" s="1"/>
      <c r="X345" s="1"/>
    </row>
    <row r="346" spans="2:24" ht="9.75" customHeight="1" x14ac:dyDescent="0.4">
      <c r="C346" s="17"/>
      <c r="D346" s="17" t="s">
        <v>313</v>
      </c>
      <c r="E346" s="17"/>
      <c r="F346" s="32"/>
      <c r="G346" s="6"/>
      <c r="H346" s="6"/>
      <c r="I346" s="6"/>
      <c r="J346" s="6"/>
      <c r="K346" s="6"/>
      <c r="L346" s="6"/>
      <c r="M346" s="6"/>
      <c r="N346" s="6"/>
      <c r="O346" s="31"/>
      <c r="P346" s="32"/>
      <c r="Q346" s="6"/>
      <c r="R346" s="59"/>
      <c r="T346" s="182"/>
      <c r="U346" s="182"/>
      <c r="V346" s="1"/>
      <c r="W346" s="1"/>
      <c r="X346" s="1"/>
    </row>
    <row r="347" spans="2:24" ht="9.75" customHeight="1" x14ac:dyDescent="0.4">
      <c r="B347" s="219" t="s">
        <v>395</v>
      </c>
      <c r="C347" s="34"/>
      <c r="D347" s="104" t="s">
        <v>314</v>
      </c>
      <c r="E347" s="104">
        <f t="shared" ref="E347:O347" si="64">SUM(E331:E346)</f>
        <v>99</v>
      </c>
      <c r="F347" s="104">
        <f t="shared" si="64"/>
        <v>94</v>
      </c>
      <c r="G347" s="128">
        <f t="shared" si="64"/>
        <v>91</v>
      </c>
      <c r="H347" s="128">
        <f t="shared" si="64"/>
        <v>86</v>
      </c>
      <c r="I347" s="128">
        <f t="shared" si="64"/>
        <v>87</v>
      </c>
      <c r="J347" s="128">
        <f t="shared" si="64"/>
        <v>89</v>
      </c>
      <c r="K347" s="128">
        <f t="shared" si="64"/>
        <v>84</v>
      </c>
      <c r="L347" s="128">
        <f t="shared" si="64"/>
        <v>86</v>
      </c>
      <c r="M347" s="128">
        <f t="shared" si="64"/>
        <v>86</v>
      </c>
      <c r="N347" s="128">
        <f t="shared" si="64"/>
        <v>86</v>
      </c>
      <c r="O347" s="129">
        <f t="shared" si="64"/>
        <v>0</v>
      </c>
      <c r="P347" s="128">
        <f>MIN(F347:O347)</f>
        <v>0</v>
      </c>
      <c r="Q347" s="128">
        <f>E347-P347</f>
        <v>99</v>
      </c>
      <c r="R347" s="72">
        <f>Q347/E347</f>
        <v>1</v>
      </c>
      <c r="T347" s="182"/>
      <c r="U347" s="182"/>
      <c r="V347" s="1"/>
      <c r="W347" s="1"/>
      <c r="X347" s="1"/>
    </row>
    <row r="348" spans="2:24" ht="9.75" customHeight="1" x14ac:dyDescent="0.4">
      <c r="C348" s="15" t="s">
        <v>65</v>
      </c>
      <c r="D348" s="15" t="s">
        <v>300</v>
      </c>
      <c r="E348" s="17"/>
      <c r="F348" s="32"/>
      <c r="G348" s="6"/>
      <c r="H348" s="6"/>
      <c r="I348" s="6"/>
      <c r="J348" s="6"/>
      <c r="K348" s="6"/>
      <c r="L348" s="6"/>
      <c r="M348" s="6"/>
      <c r="N348" s="6"/>
      <c r="O348" s="31"/>
      <c r="P348" s="73"/>
      <c r="Q348" s="108"/>
      <c r="R348" s="188"/>
      <c r="T348" s="182"/>
      <c r="U348" s="182"/>
      <c r="V348" s="1"/>
      <c r="W348" s="1"/>
      <c r="X348" s="1"/>
    </row>
    <row r="349" spans="2:24" ht="9.75" customHeight="1" x14ac:dyDescent="0.4">
      <c r="C349" s="17"/>
      <c r="D349" s="17" t="s">
        <v>301</v>
      </c>
      <c r="E349" s="17"/>
      <c r="F349" s="32"/>
      <c r="G349" s="6"/>
      <c r="H349" s="6"/>
      <c r="I349" s="6"/>
      <c r="J349" s="6"/>
      <c r="K349" s="6"/>
      <c r="L349" s="6"/>
      <c r="M349" s="6"/>
      <c r="N349" s="6"/>
      <c r="O349" s="31"/>
      <c r="P349" s="32"/>
      <c r="Q349" s="6"/>
      <c r="R349" s="59"/>
      <c r="T349" s="182"/>
      <c r="U349" s="182"/>
      <c r="V349" s="1"/>
      <c r="W349" s="1"/>
      <c r="X349" s="1"/>
    </row>
    <row r="350" spans="2:24" ht="9.75" customHeight="1" x14ac:dyDescent="0.4">
      <c r="C350" s="17"/>
      <c r="D350" s="17" t="s">
        <v>303</v>
      </c>
      <c r="E350" s="17"/>
      <c r="F350" s="32"/>
      <c r="G350" s="6"/>
      <c r="H350" s="6"/>
      <c r="I350" s="6"/>
      <c r="J350" s="6"/>
      <c r="K350" s="6"/>
      <c r="L350" s="6"/>
      <c r="M350" s="6"/>
      <c r="N350" s="6"/>
      <c r="O350" s="31"/>
      <c r="P350" s="32"/>
      <c r="Q350" s="6"/>
      <c r="R350" s="59"/>
      <c r="T350" s="182"/>
      <c r="U350" s="182"/>
      <c r="V350" s="1"/>
      <c r="W350" s="1"/>
      <c r="X350" s="1"/>
    </row>
    <row r="351" spans="2:24" ht="9.75" customHeight="1" x14ac:dyDescent="0.4">
      <c r="C351" s="17"/>
      <c r="D351" s="17" t="s">
        <v>409</v>
      </c>
      <c r="E351" s="17"/>
      <c r="F351" s="32"/>
      <c r="G351" s="6"/>
      <c r="H351" s="6"/>
      <c r="I351" s="6"/>
      <c r="J351" s="6"/>
      <c r="K351" s="6"/>
      <c r="L351" s="6"/>
      <c r="M351" s="6"/>
      <c r="N351" s="6"/>
      <c r="O351" s="31"/>
      <c r="P351" s="32"/>
      <c r="Q351" s="6"/>
      <c r="R351" s="59"/>
      <c r="T351" s="182"/>
      <c r="U351" s="182"/>
      <c r="V351" s="1"/>
      <c r="W351" s="1"/>
      <c r="X351" s="1"/>
    </row>
    <row r="352" spans="2:24" ht="9.75" customHeight="1" x14ac:dyDescent="0.4">
      <c r="C352" s="17"/>
      <c r="D352" s="17" t="s">
        <v>369</v>
      </c>
      <c r="E352" s="17"/>
      <c r="F352" s="32"/>
      <c r="G352" s="6"/>
      <c r="H352" s="6"/>
      <c r="I352" s="6"/>
      <c r="J352" s="6"/>
      <c r="K352" s="6"/>
      <c r="L352" s="6"/>
      <c r="M352" s="6"/>
      <c r="N352" s="6"/>
      <c r="O352" s="31"/>
      <c r="P352" s="32"/>
      <c r="Q352" s="6"/>
      <c r="R352" s="59"/>
      <c r="T352" s="182"/>
      <c r="U352" s="182"/>
      <c r="V352" s="1"/>
      <c r="W352" s="1"/>
      <c r="X352" s="1"/>
    </row>
    <row r="353" spans="2:24" ht="9.75" customHeight="1" x14ac:dyDescent="0.4">
      <c r="C353" s="17"/>
      <c r="D353" s="17" t="s">
        <v>308</v>
      </c>
      <c r="E353" s="17">
        <v>1</v>
      </c>
      <c r="F353" s="32">
        <v>1</v>
      </c>
      <c r="G353" s="6">
        <v>0</v>
      </c>
      <c r="H353" s="6">
        <v>1</v>
      </c>
      <c r="I353" s="6">
        <v>1</v>
      </c>
      <c r="J353" s="6">
        <v>1</v>
      </c>
      <c r="K353" s="6">
        <v>0</v>
      </c>
      <c r="L353" s="6">
        <v>1</v>
      </c>
      <c r="M353" s="6">
        <v>1</v>
      </c>
      <c r="N353" s="6">
        <v>1</v>
      </c>
      <c r="O353" s="31">
        <v>1</v>
      </c>
      <c r="P353" s="32">
        <f t="shared" ref="P353:P356" si="65">MIN(F353:O353)</f>
        <v>0</v>
      </c>
      <c r="Q353" s="6">
        <f t="shared" ref="Q353:Q356" si="66">E353-P353</f>
        <v>1</v>
      </c>
      <c r="R353" s="59">
        <f t="shared" ref="R353:R356" si="67">Q353/E353</f>
        <v>1</v>
      </c>
      <c r="T353" s="182"/>
      <c r="U353" s="182"/>
      <c r="V353" s="1"/>
      <c r="W353" s="1"/>
      <c r="X353" s="1"/>
    </row>
    <row r="354" spans="2:24" ht="9.75" customHeight="1" x14ac:dyDescent="0.4">
      <c r="C354" s="17"/>
      <c r="D354" s="17" t="s">
        <v>499</v>
      </c>
      <c r="E354" s="17">
        <f>101-11</f>
        <v>90</v>
      </c>
      <c r="F354" s="32">
        <v>47</v>
      </c>
      <c r="G354" s="6">
        <v>35</v>
      </c>
      <c r="H354" s="6">
        <v>3</v>
      </c>
      <c r="I354" s="6">
        <v>9</v>
      </c>
      <c r="J354" s="6">
        <v>17</v>
      </c>
      <c r="K354" s="6">
        <v>6</v>
      </c>
      <c r="L354" s="6">
        <v>10</v>
      </c>
      <c r="M354" s="6">
        <v>23</v>
      </c>
      <c r="N354" s="6">
        <v>46</v>
      </c>
      <c r="O354" s="31">
        <v>25</v>
      </c>
      <c r="P354" s="32">
        <f t="shared" si="65"/>
        <v>3</v>
      </c>
      <c r="Q354" s="6">
        <f t="shared" si="66"/>
        <v>87</v>
      </c>
      <c r="R354" s="59">
        <f t="shared" si="67"/>
        <v>0.96666666666666667</v>
      </c>
      <c r="T354" s="182"/>
      <c r="U354" s="182"/>
      <c r="V354" s="1"/>
      <c r="W354" s="1"/>
      <c r="X354" s="1"/>
    </row>
    <row r="355" spans="2:24" ht="9.75" customHeight="1" x14ac:dyDescent="0.4">
      <c r="C355" s="17"/>
      <c r="D355" s="17" t="s">
        <v>500</v>
      </c>
      <c r="E355" s="17">
        <v>11</v>
      </c>
      <c r="F355" s="32">
        <v>5</v>
      </c>
      <c r="G355" s="6">
        <v>5</v>
      </c>
      <c r="H355" s="6">
        <v>5</v>
      </c>
      <c r="I355" s="6">
        <v>2</v>
      </c>
      <c r="J355" s="6">
        <v>3</v>
      </c>
      <c r="K355" s="6">
        <v>6</v>
      </c>
      <c r="L355" s="6">
        <v>3</v>
      </c>
      <c r="M355" s="6">
        <v>2</v>
      </c>
      <c r="N355" s="6">
        <v>6</v>
      </c>
      <c r="O355" s="31">
        <v>9</v>
      </c>
      <c r="P355" s="32">
        <f t="shared" si="65"/>
        <v>2</v>
      </c>
      <c r="Q355" s="6">
        <f t="shared" si="66"/>
        <v>9</v>
      </c>
      <c r="R355" s="59">
        <f t="shared" si="67"/>
        <v>0.81818181818181823</v>
      </c>
      <c r="T355" s="182"/>
      <c r="U355" s="182"/>
      <c r="V355" s="1"/>
      <c r="W355" s="1"/>
      <c r="X355" s="1"/>
    </row>
    <row r="356" spans="2:24" ht="9.75" customHeight="1" x14ac:dyDescent="0.4">
      <c r="C356" s="17"/>
      <c r="D356" s="17" t="s">
        <v>372</v>
      </c>
      <c r="E356" s="17">
        <v>2</v>
      </c>
      <c r="F356" s="32">
        <v>0</v>
      </c>
      <c r="G356" s="6">
        <v>0</v>
      </c>
      <c r="H356" s="6">
        <v>0</v>
      </c>
      <c r="I356" s="6">
        <v>0</v>
      </c>
      <c r="J356" s="6">
        <v>1</v>
      </c>
      <c r="K356" s="6">
        <v>0</v>
      </c>
      <c r="L356" s="6">
        <v>0</v>
      </c>
      <c r="M356" s="6">
        <v>0</v>
      </c>
      <c r="N356" s="6">
        <v>0</v>
      </c>
      <c r="O356" s="31">
        <v>2</v>
      </c>
      <c r="P356" s="32">
        <f t="shared" si="65"/>
        <v>0</v>
      </c>
      <c r="Q356" s="6">
        <f t="shared" si="66"/>
        <v>2</v>
      </c>
      <c r="R356" s="59">
        <f t="shared" si="67"/>
        <v>1</v>
      </c>
      <c r="T356" s="182"/>
      <c r="U356" s="182"/>
      <c r="V356" s="1"/>
      <c r="W356" s="1"/>
      <c r="X356" s="1"/>
    </row>
    <row r="357" spans="2:24" ht="9.75" customHeight="1" x14ac:dyDescent="0.4">
      <c r="C357" s="17"/>
      <c r="D357" s="17" t="s">
        <v>374</v>
      </c>
      <c r="E357" s="17"/>
      <c r="F357" s="32"/>
      <c r="G357" s="6"/>
      <c r="H357" s="6"/>
      <c r="I357" s="6"/>
      <c r="J357" s="6"/>
      <c r="K357" s="6"/>
      <c r="L357" s="6"/>
      <c r="M357" s="6"/>
      <c r="N357" s="6"/>
      <c r="O357" s="31"/>
      <c r="P357" s="32"/>
      <c r="Q357" s="6"/>
      <c r="R357" s="59"/>
      <c r="T357" s="182"/>
      <c r="U357" s="182"/>
      <c r="V357" s="1"/>
      <c r="W357" s="1"/>
      <c r="X357" s="1"/>
    </row>
    <row r="358" spans="2:24" ht="9.75" customHeight="1" x14ac:dyDescent="0.4">
      <c r="C358" s="17"/>
      <c r="D358" s="17" t="s">
        <v>374</v>
      </c>
      <c r="E358" s="17"/>
      <c r="F358" s="32"/>
      <c r="G358" s="6"/>
      <c r="H358" s="6"/>
      <c r="I358" s="6"/>
      <c r="J358" s="6"/>
      <c r="K358" s="6"/>
      <c r="L358" s="6"/>
      <c r="M358" s="6"/>
      <c r="N358" s="6"/>
      <c r="O358" s="31"/>
      <c r="P358" s="32"/>
      <c r="Q358" s="6"/>
      <c r="R358" s="59"/>
      <c r="T358" s="182"/>
      <c r="U358" s="182"/>
      <c r="V358" s="1"/>
      <c r="W358" s="1"/>
      <c r="X358" s="1"/>
    </row>
    <row r="359" spans="2:24" ht="9.75" customHeight="1" x14ac:dyDescent="0.4">
      <c r="C359" s="17"/>
      <c r="D359" s="17" t="s">
        <v>374</v>
      </c>
      <c r="E359" s="17"/>
      <c r="F359" s="32"/>
      <c r="G359" s="6"/>
      <c r="H359" s="6"/>
      <c r="I359" s="6"/>
      <c r="J359" s="6"/>
      <c r="K359" s="6"/>
      <c r="L359" s="6"/>
      <c r="M359" s="6"/>
      <c r="N359" s="6"/>
      <c r="O359" s="31"/>
      <c r="P359" s="32"/>
      <c r="Q359" s="6"/>
      <c r="R359" s="59"/>
      <c r="T359" s="182"/>
      <c r="U359" s="182"/>
      <c r="V359" s="1"/>
      <c r="W359" s="1"/>
      <c r="X359" s="1"/>
    </row>
    <row r="360" spans="2:24" ht="9.75" customHeight="1" x14ac:dyDescent="0.4">
      <c r="C360" s="17"/>
      <c r="D360" s="17" t="s">
        <v>310</v>
      </c>
      <c r="E360" s="17">
        <v>13</v>
      </c>
      <c r="F360" s="324">
        <v>0</v>
      </c>
      <c r="G360" s="325">
        <v>0</v>
      </c>
      <c r="H360" s="325">
        <v>0</v>
      </c>
      <c r="I360" s="325">
        <v>2</v>
      </c>
      <c r="J360" s="325">
        <v>2</v>
      </c>
      <c r="K360" s="325">
        <v>0</v>
      </c>
      <c r="L360" s="325">
        <v>0</v>
      </c>
      <c r="M360" s="325">
        <v>1</v>
      </c>
      <c r="N360" s="325">
        <v>4</v>
      </c>
      <c r="O360" s="326">
        <v>6</v>
      </c>
      <c r="P360" s="32">
        <f>MIN(F360:O360)</f>
        <v>0</v>
      </c>
      <c r="Q360" s="6">
        <f>E360-P360</f>
        <v>13</v>
      </c>
      <c r="R360" s="59">
        <f>Q360/E360</f>
        <v>1</v>
      </c>
      <c r="T360" s="182"/>
      <c r="U360" s="182"/>
      <c r="V360" s="1"/>
      <c r="W360" s="1"/>
      <c r="X360" s="1"/>
    </row>
    <row r="361" spans="2:24" ht="9.75" customHeight="1" x14ac:dyDescent="0.4">
      <c r="C361" s="17"/>
      <c r="D361" s="17" t="s">
        <v>311</v>
      </c>
      <c r="E361" s="17"/>
      <c r="F361" s="32"/>
      <c r="G361" s="6"/>
      <c r="H361" s="6"/>
      <c r="I361" s="6"/>
      <c r="J361" s="6"/>
      <c r="K361" s="6"/>
      <c r="L361" s="6"/>
      <c r="M361" s="6"/>
      <c r="N361" s="6"/>
      <c r="O361" s="31"/>
      <c r="P361" s="32"/>
      <c r="Q361" s="6"/>
      <c r="R361" s="59"/>
      <c r="T361" s="182"/>
      <c r="U361" s="182"/>
      <c r="V361" s="1"/>
      <c r="W361" s="1"/>
      <c r="X361" s="1"/>
    </row>
    <row r="362" spans="2:24" ht="9.75" customHeight="1" x14ac:dyDescent="0.4">
      <c r="C362" s="17"/>
      <c r="D362" s="17" t="s">
        <v>312</v>
      </c>
      <c r="E362" s="17"/>
      <c r="F362" s="32"/>
      <c r="G362" s="6"/>
      <c r="H362" s="6"/>
      <c r="I362" s="6"/>
      <c r="J362" s="6"/>
      <c r="K362" s="6"/>
      <c r="L362" s="6"/>
      <c r="M362" s="6"/>
      <c r="N362" s="6"/>
      <c r="O362" s="31"/>
      <c r="P362" s="32"/>
      <c r="Q362" s="6"/>
      <c r="R362" s="59"/>
      <c r="T362" s="182"/>
      <c r="U362" s="182"/>
      <c r="V362" s="1"/>
      <c r="W362" s="1"/>
      <c r="X362" s="1"/>
    </row>
    <row r="363" spans="2:24" ht="9.75" customHeight="1" x14ac:dyDescent="0.4">
      <c r="C363" s="17"/>
      <c r="D363" s="17" t="s">
        <v>313</v>
      </c>
      <c r="E363" s="17"/>
      <c r="F363" s="32"/>
      <c r="G363" s="6"/>
      <c r="H363" s="6"/>
      <c r="I363" s="6"/>
      <c r="J363" s="6"/>
      <c r="K363" s="6"/>
      <c r="L363" s="6"/>
      <c r="M363" s="6"/>
      <c r="N363" s="6"/>
      <c r="O363" s="31"/>
      <c r="P363" s="32"/>
      <c r="Q363" s="6"/>
      <c r="R363" s="59"/>
      <c r="T363" s="182"/>
      <c r="U363" s="182"/>
      <c r="V363" s="1"/>
      <c r="W363" s="1"/>
      <c r="X363" s="1"/>
    </row>
    <row r="364" spans="2:24" ht="9.75" customHeight="1" x14ac:dyDescent="0.4">
      <c r="B364" s="219" t="s">
        <v>395</v>
      </c>
      <c r="C364" s="34"/>
      <c r="D364" s="104" t="s">
        <v>314</v>
      </c>
      <c r="E364" s="104">
        <f t="shared" ref="E364:O364" si="68">SUM(E348:E363)</f>
        <v>117</v>
      </c>
      <c r="F364" s="104">
        <f t="shared" si="68"/>
        <v>53</v>
      </c>
      <c r="G364" s="128">
        <f t="shared" si="68"/>
        <v>40</v>
      </c>
      <c r="H364" s="128">
        <f t="shared" si="68"/>
        <v>9</v>
      </c>
      <c r="I364" s="128">
        <f t="shared" si="68"/>
        <v>14</v>
      </c>
      <c r="J364" s="128">
        <f t="shared" si="68"/>
        <v>24</v>
      </c>
      <c r="K364" s="128">
        <f t="shared" si="68"/>
        <v>12</v>
      </c>
      <c r="L364" s="128">
        <f t="shared" si="68"/>
        <v>14</v>
      </c>
      <c r="M364" s="128">
        <f t="shared" si="68"/>
        <v>27</v>
      </c>
      <c r="N364" s="128">
        <f t="shared" si="68"/>
        <v>57</v>
      </c>
      <c r="O364" s="129">
        <f t="shared" si="68"/>
        <v>43</v>
      </c>
      <c r="P364" s="128">
        <f>MIN(F364:O364)</f>
        <v>9</v>
      </c>
      <c r="Q364" s="128">
        <f>E364-P364</f>
        <v>108</v>
      </c>
      <c r="R364" s="72">
        <f>Q364/E364</f>
        <v>0.92307692307692313</v>
      </c>
      <c r="T364" s="182"/>
      <c r="U364" s="182"/>
      <c r="V364" s="1"/>
      <c r="W364" s="1"/>
      <c r="X364" s="1"/>
    </row>
    <row r="365" spans="2:24" ht="9.75" customHeight="1" x14ac:dyDescent="0.4">
      <c r="C365" s="15" t="s">
        <v>86</v>
      </c>
      <c r="D365" s="15" t="s">
        <v>300</v>
      </c>
      <c r="E365" s="17"/>
      <c r="F365" s="32"/>
      <c r="G365" s="6"/>
      <c r="H365" s="6"/>
      <c r="I365" s="6"/>
      <c r="J365" s="6"/>
      <c r="K365" s="6"/>
      <c r="L365" s="6"/>
      <c r="M365" s="6"/>
      <c r="N365" s="6"/>
      <c r="O365" s="31"/>
      <c r="P365" s="32"/>
      <c r="Q365" s="6"/>
      <c r="R365" s="59"/>
      <c r="T365" s="182"/>
      <c r="U365" s="182"/>
      <c r="V365" s="1"/>
      <c r="W365" s="1"/>
      <c r="X365" s="1"/>
    </row>
    <row r="366" spans="2:24" ht="9.75" customHeight="1" x14ac:dyDescent="0.4">
      <c r="C366" s="17"/>
      <c r="D366" s="17" t="s">
        <v>301</v>
      </c>
      <c r="E366" s="17"/>
      <c r="F366" s="32"/>
      <c r="G366" s="6"/>
      <c r="H366" s="6"/>
      <c r="I366" s="6"/>
      <c r="J366" s="6"/>
      <c r="K366" s="6"/>
      <c r="L366" s="6"/>
      <c r="M366" s="6"/>
      <c r="N366" s="6"/>
      <c r="O366" s="31"/>
      <c r="P366" s="32"/>
      <c r="Q366" s="6"/>
      <c r="R366" s="59"/>
      <c r="T366" s="182"/>
      <c r="U366" s="182"/>
      <c r="V366" s="1"/>
      <c r="W366" s="1"/>
      <c r="X366" s="1"/>
    </row>
    <row r="367" spans="2:24" ht="9.75" customHeight="1" x14ac:dyDescent="0.4">
      <c r="C367" s="17"/>
      <c r="D367" s="17" t="s">
        <v>303</v>
      </c>
      <c r="E367" s="17"/>
      <c r="F367" s="32"/>
      <c r="G367" s="6"/>
      <c r="H367" s="6"/>
      <c r="I367" s="6"/>
      <c r="J367" s="6"/>
      <c r="K367" s="6"/>
      <c r="L367" s="6"/>
      <c r="M367" s="6"/>
      <c r="N367" s="6"/>
      <c r="O367" s="31"/>
      <c r="P367" s="32"/>
      <c r="Q367" s="6"/>
      <c r="R367" s="59"/>
      <c r="T367" s="182"/>
      <c r="U367" s="182"/>
      <c r="V367" s="1"/>
      <c r="W367" s="1"/>
      <c r="X367" s="1"/>
    </row>
    <row r="368" spans="2:24" ht="9.75" customHeight="1" x14ac:dyDescent="0.4">
      <c r="C368" s="17"/>
      <c r="D368" s="17" t="s">
        <v>369</v>
      </c>
      <c r="E368" s="17"/>
      <c r="F368" s="32"/>
      <c r="G368" s="6"/>
      <c r="H368" s="6"/>
      <c r="I368" s="6"/>
      <c r="J368" s="6"/>
      <c r="K368" s="6"/>
      <c r="L368" s="6"/>
      <c r="M368" s="6"/>
      <c r="N368" s="6"/>
      <c r="O368" s="31"/>
      <c r="P368" s="32"/>
      <c r="Q368" s="6"/>
      <c r="R368" s="59"/>
      <c r="T368" s="182"/>
      <c r="U368" s="182"/>
      <c r="V368" s="1"/>
      <c r="W368" s="1"/>
      <c r="X368" s="1"/>
    </row>
    <row r="369" spans="2:24" ht="9.75" customHeight="1" x14ac:dyDescent="0.4">
      <c r="C369" s="17"/>
      <c r="D369" s="17" t="s">
        <v>369</v>
      </c>
      <c r="E369" s="17"/>
      <c r="F369" s="32"/>
      <c r="G369" s="6"/>
      <c r="H369" s="6"/>
      <c r="I369" s="6"/>
      <c r="J369" s="6"/>
      <c r="K369" s="6"/>
      <c r="L369" s="6"/>
      <c r="M369" s="6"/>
      <c r="N369" s="6"/>
      <c r="O369" s="31"/>
      <c r="P369" s="32"/>
      <c r="Q369" s="6"/>
      <c r="R369" s="59"/>
      <c r="T369" s="182"/>
      <c r="U369" s="182"/>
      <c r="V369" s="1"/>
      <c r="W369" s="1"/>
      <c r="X369" s="1"/>
    </row>
    <row r="370" spans="2:24" ht="9.75" customHeight="1" x14ac:dyDescent="0.4">
      <c r="C370" s="17"/>
      <c r="D370" s="17" t="s">
        <v>308</v>
      </c>
      <c r="E370" s="17">
        <v>1</v>
      </c>
      <c r="F370" s="32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31">
        <v>0</v>
      </c>
      <c r="P370" s="32">
        <f t="shared" ref="P370:P372" si="69">MIN(F370:O370)</f>
        <v>0</v>
      </c>
      <c r="Q370" s="6">
        <f t="shared" ref="Q370:Q372" si="70">E370-P370</f>
        <v>1</v>
      </c>
      <c r="R370" s="59">
        <f t="shared" ref="R370:R372" si="71">Q370/E370</f>
        <v>1</v>
      </c>
      <c r="T370" s="182"/>
      <c r="U370" s="182"/>
      <c r="V370" s="1"/>
      <c r="W370" s="1"/>
      <c r="X370" s="1"/>
    </row>
    <row r="371" spans="2:24" ht="9.75" customHeight="1" x14ac:dyDescent="0.4">
      <c r="C371" s="17"/>
      <c r="D371" s="17" t="s">
        <v>501</v>
      </c>
      <c r="E371" s="17">
        <v>4</v>
      </c>
      <c r="F371" s="32">
        <v>4</v>
      </c>
      <c r="G371" s="6">
        <v>3</v>
      </c>
      <c r="H371" s="6">
        <v>2</v>
      </c>
      <c r="I371" s="6">
        <v>2</v>
      </c>
      <c r="J371" s="6">
        <v>2</v>
      </c>
      <c r="K371" s="6">
        <v>2</v>
      </c>
      <c r="L371" s="6">
        <v>2</v>
      </c>
      <c r="M371" s="6">
        <v>2</v>
      </c>
      <c r="N371" s="6">
        <v>3</v>
      </c>
      <c r="O371" s="31">
        <v>4</v>
      </c>
      <c r="P371" s="32">
        <f t="shared" si="69"/>
        <v>2</v>
      </c>
      <c r="Q371" s="6">
        <f t="shared" si="70"/>
        <v>2</v>
      </c>
      <c r="R371" s="59">
        <f t="shared" si="71"/>
        <v>0.5</v>
      </c>
      <c r="T371" s="182"/>
      <c r="U371" s="182"/>
      <c r="V371" s="1"/>
      <c r="W371" s="1"/>
      <c r="X371" s="1"/>
    </row>
    <row r="372" spans="2:24" ht="9.75" customHeight="1" x14ac:dyDescent="0.4">
      <c r="C372" s="17"/>
      <c r="D372" s="17" t="s">
        <v>502</v>
      </c>
      <c r="E372" s="17">
        <v>24</v>
      </c>
      <c r="F372" s="32">
        <v>15</v>
      </c>
      <c r="G372" s="6">
        <v>12</v>
      </c>
      <c r="H372" s="6">
        <v>10</v>
      </c>
      <c r="I372" s="6">
        <v>4</v>
      </c>
      <c r="J372" s="6">
        <v>5</v>
      </c>
      <c r="K372" s="6">
        <v>5</v>
      </c>
      <c r="L372" s="6">
        <v>0</v>
      </c>
      <c r="M372" s="6">
        <v>4</v>
      </c>
      <c r="N372" s="6">
        <v>1</v>
      </c>
      <c r="O372" s="31">
        <v>1</v>
      </c>
      <c r="P372" s="32">
        <f t="shared" si="69"/>
        <v>0</v>
      </c>
      <c r="Q372" s="6">
        <f t="shared" si="70"/>
        <v>24</v>
      </c>
      <c r="R372" s="59">
        <f t="shared" si="71"/>
        <v>1</v>
      </c>
      <c r="T372" s="182"/>
      <c r="U372" s="182"/>
      <c r="V372" s="1"/>
      <c r="W372" s="1"/>
      <c r="X372" s="1"/>
    </row>
    <row r="373" spans="2:24" ht="9.75" customHeight="1" x14ac:dyDescent="0.4">
      <c r="C373" s="17"/>
      <c r="D373" s="17" t="s">
        <v>374</v>
      </c>
      <c r="E373" s="17"/>
      <c r="F373" s="32"/>
      <c r="G373" s="6"/>
      <c r="H373" s="6"/>
      <c r="I373" s="6"/>
      <c r="J373" s="6"/>
      <c r="K373" s="6"/>
      <c r="L373" s="6"/>
      <c r="M373" s="6"/>
      <c r="N373" s="6"/>
      <c r="O373" s="31"/>
      <c r="P373" s="32"/>
      <c r="Q373" s="6"/>
      <c r="R373" s="59"/>
      <c r="T373" s="182"/>
      <c r="U373" s="182"/>
      <c r="V373" s="1"/>
      <c r="W373" s="1"/>
      <c r="X373" s="1"/>
    </row>
    <row r="374" spans="2:24" ht="9.75" customHeight="1" x14ac:dyDescent="0.4">
      <c r="C374" s="17"/>
      <c r="D374" s="17" t="s">
        <v>374</v>
      </c>
      <c r="E374" s="17"/>
      <c r="F374" s="32"/>
      <c r="G374" s="6"/>
      <c r="H374" s="6"/>
      <c r="I374" s="6"/>
      <c r="J374" s="6"/>
      <c r="K374" s="6"/>
      <c r="L374" s="6"/>
      <c r="M374" s="6"/>
      <c r="N374" s="6"/>
      <c r="O374" s="31"/>
      <c r="P374" s="32"/>
      <c r="Q374" s="6"/>
      <c r="R374" s="59"/>
      <c r="T374" s="182"/>
      <c r="U374" s="182"/>
      <c r="V374" s="1"/>
      <c r="W374" s="1"/>
      <c r="X374" s="1"/>
    </row>
    <row r="375" spans="2:24" ht="9.75" customHeight="1" x14ac:dyDescent="0.4">
      <c r="C375" s="17"/>
      <c r="D375" s="17" t="s">
        <v>374</v>
      </c>
      <c r="E375" s="17"/>
      <c r="F375" s="32"/>
      <c r="G375" s="6"/>
      <c r="H375" s="6"/>
      <c r="I375" s="6"/>
      <c r="J375" s="6"/>
      <c r="K375" s="6"/>
      <c r="L375" s="6"/>
      <c r="M375" s="6"/>
      <c r="N375" s="6"/>
      <c r="O375" s="31"/>
      <c r="P375" s="32"/>
      <c r="Q375" s="6"/>
      <c r="R375" s="59"/>
      <c r="T375" s="182"/>
      <c r="U375" s="182"/>
      <c r="V375" s="1"/>
      <c r="W375" s="1"/>
      <c r="X375" s="1"/>
    </row>
    <row r="376" spans="2:24" ht="9.75" customHeight="1" x14ac:dyDescent="0.4">
      <c r="C376" s="17"/>
      <c r="D376" s="17" t="s">
        <v>374</v>
      </c>
      <c r="E376" s="17"/>
      <c r="F376" s="32"/>
      <c r="G376" s="6"/>
      <c r="H376" s="6"/>
      <c r="I376" s="6"/>
      <c r="J376" s="6"/>
      <c r="K376" s="6"/>
      <c r="L376" s="6"/>
      <c r="M376" s="6"/>
      <c r="N376" s="6"/>
      <c r="O376" s="31"/>
      <c r="P376" s="32"/>
      <c r="Q376" s="6"/>
      <c r="R376" s="59"/>
      <c r="T376" s="182"/>
      <c r="U376" s="182"/>
      <c r="V376" s="1"/>
      <c r="W376" s="1"/>
      <c r="X376" s="1"/>
    </row>
    <row r="377" spans="2:24" ht="9.75" customHeight="1" x14ac:dyDescent="0.4">
      <c r="C377" s="17"/>
      <c r="D377" s="17" t="s">
        <v>310</v>
      </c>
      <c r="E377" s="17">
        <v>2</v>
      </c>
      <c r="F377" s="32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1</v>
      </c>
      <c r="N377" s="6">
        <v>0</v>
      </c>
      <c r="O377" s="31">
        <v>0</v>
      </c>
      <c r="P377" s="32">
        <f>MIN(F377:O377)</f>
        <v>0</v>
      </c>
      <c r="Q377" s="6">
        <f>E377-P377</f>
        <v>2</v>
      </c>
      <c r="R377" s="59">
        <f>Q377/E377</f>
        <v>1</v>
      </c>
      <c r="T377" s="182"/>
      <c r="U377" s="182"/>
      <c r="V377" s="1"/>
      <c r="W377" s="1"/>
      <c r="X377" s="1"/>
    </row>
    <row r="378" spans="2:24" ht="9.75" customHeight="1" x14ac:dyDescent="0.4">
      <c r="C378" s="17"/>
      <c r="D378" s="17" t="s">
        <v>311</v>
      </c>
      <c r="E378" s="17"/>
      <c r="F378" s="32"/>
      <c r="G378" s="6"/>
      <c r="H378" s="6"/>
      <c r="I378" s="6"/>
      <c r="J378" s="6"/>
      <c r="K378" s="6"/>
      <c r="L378" s="6"/>
      <c r="M378" s="6"/>
      <c r="N378" s="6"/>
      <c r="O378" s="31"/>
      <c r="P378" s="32"/>
      <c r="Q378" s="6"/>
      <c r="R378" s="59"/>
      <c r="T378" s="182"/>
      <c r="U378" s="182"/>
      <c r="V378" s="1"/>
      <c r="W378" s="1"/>
      <c r="X378" s="1"/>
    </row>
    <row r="379" spans="2:24" ht="9.75" customHeight="1" x14ac:dyDescent="0.4">
      <c r="C379" s="17"/>
      <c r="D379" s="17" t="s">
        <v>312</v>
      </c>
      <c r="E379" s="17"/>
      <c r="F379" s="32"/>
      <c r="G379" s="6"/>
      <c r="H379" s="6"/>
      <c r="I379" s="6"/>
      <c r="J379" s="6"/>
      <c r="K379" s="6"/>
      <c r="L379" s="6"/>
      <c r="M379" s="6"/>
      <c r="N379" s="6"/>
      <c r="O379" s="31"/>
      <c r="P379" s="32"/>
      <c r="Q379" s="6"/>
      <c r="R379" s="59"/>
      <c r="T379" s="182"/>
      <c r="U379" s="182"/>
      <c r="V379" s="1"/>
      <c r="W379" s="1"/>
      <c r="X379" s="1"/>
    </row>
    <row r="380" spans="2:24" ht="9.75" customHeight="1" x14ac:dyDescent="0.4">
      <c r="C380" s="17"/>
      <c r="D380" s="17" t="s">
        <v>313</v>
      </c>
      <c r="E380" s="17"/>
      <c r="F380" s="32"/>
      <c r="G380" s="6"/>
      <c r="H380" s="6"/>
      <c r="I380" s="6"/>
      <c r="J380" s="6"/>
      <c r="K380" s="6"/>
      <c r="L380" s="6"/>
      <c r="M380" s="6"/>
      <c r="N380" s="6"/>
      <c r="O380" s="31"/>
      <c r="P380" s="32"/>
      <c r="Q380" s="6"/>
      <c r="R380" s="59"/>
      <c r="T380" s="182"/>
      <c r="U380" s="182"/>
      <c r="V380" s="1"/>
      <c r="W380" s="1"/>
      <c r="X380" s="1"/>
    </row>
    <row r="381" spans="2:24" ht="9.75" customHeight="1" x14ac:dyDescent="0.4">
      <c r="B381" s="219" t="s">
        <v>395</v>
      </c>
      <c r="C381" s="34"/>
      <c r="D381" s="104" t="s">
        <v>314</v>
      </c>
      <c r="E381" s="104">
        <f t="shared" ref="E381:O381" si="72">SUM(E365:E380)</f>
        <v>31</v>
      </c>
      <c r="F381" s="104">
        <f t="shared" si="72"/>
        <v>19</v>
      </c>
      <c r="G381" s="128">
        <f t="shared" si="72"/>
        <v>15</v>
      </c>
      <c r="H381" s="128">
        <f t="shared" si="72"/>
        <v>12</v>
      </c>
      <c r="I381" s="128">
        <f t="shared" si="72"/>
        <v>6</v>
      </c>
      <c r="J381" s="128">
        <f t="shared" si="72"/>
        <v>7</v>
      </c>
      <c r="K381" s="128">
        <f t="shared" si="72"/>
        <v>7</v>
      </c>
      <c r="L381" s="128">
        <f t="shared" si="72"/>
        <v>2</v>
      </c>
      <c r="M381" s="128">
        <f t="shared" si="72"/>
        <v>7</v>
      </c>
      <c r="N381" s="128">
        <f t="shared" si="72"/>
        <v>4</v>
      </c>
      <c r="O381" s="129">
        <f t="shared" si="72"/>
        <v>5</v>
      </c>
      <c r="P381" s="128">
        <f>MIN(F381:O381)</f>
        <v>2</v>
      </c>
      <c r="Q381" s="128">
        <f>E381-P381</f>
        <v>29</v>
      </c>
      <c r="R381" s="72">
        <f>Q381/E381</f>
        <v>0.93548387096774188</v>
      </c>
      <c r="T381" s="182"/>
      <c r="U381" s="182"/>
      <c r="V381" s="1"/>
      <c r="W381" s="1"/>
      <c r="X381" s="1"/>
    </row>
    <row r="382" spans="2:24" ht="9.75" customHeight="1" x14ac:dyDescent="0.4">
      <c r="C382" s="15" t="s">
        <v>105</v>
      </c>
      <c r="D382" s="15" t="s">
        <v>300</v>
      </c>
      <c r="E382" s="17"/>
      <c r="F382" s="32"/>
      <c r="G382" s="6"/>
      <c r="H382" s="6"/>
      <c r="I382" s="6"/>
      <c r="J382" s="6"/>
      <c r="K382" s="6"/>
      <c r="L382" s="6"/>
      <c r="M382" s="6"/>
      <c r="N382" s="6"/>
      <c r="O382" s="31"/>
      <c r="P382" s="32"/>
      <c r="Q382" s="6"/>
      <c r="R382" s="59"/>
      <c r="T382" s="182"/>
      <c r="U382" s="182"/>
      <c r="V382" s="1"/>
      <c r="W382" s="1"/>
      <c r="X382" s="1"/>
    </row>
    <row r="383" spans="2:24" ht="9.75" customHeight="1" x14ac:dyDescent="0.4">
      <c r="C383" s="17"/>
      <c r="D383" s="17" t="s">
        <v>301</v>
      </c>
      <c r="E383" s="17"/>
      <c r="F383" s="32"/>
      <c r="G383" s="6"/>
      <c r="H383" s="6"/>
      <c r="I383" s="6"/>
      <c r="J383" s="6"/>
      <c r="K383" s="6"/>
      <c r="L383" s="6"/>
      <c r="M383" s="6"/>
      <c r="N383" s="6"/>
      <c r="O383" s="31"/>
      <c r="P383" s="32"/>
      <c r="Q383" s="6"/>
      <c r="R383" s="59"/>
      <c r="T383" s="182"/>
      <c r="U383" s="182"/>
      <c r="V383" s="1"/>
      <c r="W383" s="1"/>
      <c r="X383" s="1"/>
    </row>
    <row r="384" spans="2:24" ht="9.75" customHeight="1" x14ac:dyDescent="0.4">
      <c r="C384" s="17"/>
      <c r="D384" s="17" t="s">
        <v>303</v>
      </c>
      <c r="E384" s="17"/>
      <c r="F384" s="32"/>
      <c r="G384" s="6"/>
      <c r="H384" s="6"/>
      <c r="I384" s="6"/>
      <c r="J384" s="6"/>
      <c r="K384" s="6"/>
      <c r="L384" s="6"/>
      <c r="M384" s="6"/>
      <c r="N384" s="6"/>
      <c r="O384" s="31"/>
      <c r="P384" s="32"/>
      <c r="Q384" s="6"/>
      <c r="R384" s="59"/>
      <c r="T384" s="182"/>
      <c r="U384" s="182"/>
      <c r="V384" s="1"/>
      <c r="W384" s="1"/>
      <c r="X384" s="1"/>
    </row>
    <row r="385" spans="2:24" ht="9.75" customHeight="1" x14ac:dyDescent="0.4">
      <c r="C385" s="17"/>
      <c r="D385" s="17" t="s">
        <v>369</v>
      </c>
      <c r="E385" s="17"/>
      <c r="F385" s="32"/>
      <c r="G385" s="6"/>
      <c r="H385" s="6"/>
      <c r="I385" s="6"/>
      <c r="J385" s="6"/>
      <c r="K385" s="6"/>
      <c r="L385" s="6"/>
      <c r="M385" s="6"/>
      <c r="N385" s="6"/>
      <c r="O385" s="31"/>
      <c r="P385" s="32"/>
      <c r="Q385" s="6"/>
      <c r="R385" s="59"/>
      <c r="T385" s="182"/>
      <c r="U385" s="182"/>
      <c r="V385" s="1"/>
      <c r="W385" s="1"/>
      <c r="X385" s="1"/>
    </row>
    <row r="386" spans="2:24" ht="9.75" customHeight="1" x14ac:dyDescent="0.4">
      <c r="C386" s="17"/>
      <c r="D386" s="17" t="s">
        <v>369</v>
      </c>
      <c r="E386" s="17"/>
      <c r="F386" s="32"/>
      <c r="G386" s="6"/>
      <c r="H386" s="6"/>
      <c r="I386" s="6"/>
      <c r="J386" s="6"/>
      <c r="K386" s="6"/>
      <c r="L386" s="6"/>
      <c r="M386" s="6"/>
      <c r="N386" s="6"/>
      <c r="O386" s="31"/>
      <c r="P386" s="32"/>
      <c r="Q386" s="6"/>
      <c r="R386" s="59"/>
      <c r="T386" s="182"/>
      <c r="U386" s="182"/>
      <c r="V386" s="1"/>
      <c r="W386" s="1"/>
      <c r="X386" s="1"/>
    </row>
    <row r="387" spans="2:24" ht="9.75" customHeight="1" x14ac:dyDescent="0.4">
      <c r="C387" s="17"/>
      <c r="D387" s="17" t="s">
        <v>308</v>
      </c>
      <c r="E387" s="32">
        <v>32</v>
      </c>
      <c r="F387" s="83">
        <v>27</v>
      </c>
      <c r="G387" s="74">
        <v>23</v>
      </c>
      <c r="H387" s="74">
        <v>21</v>
      </c>
      <c r="I387" s="74">
        <v>19</v>
      </c>
      <c r="J387" s="74">
        <v>22</v>
      </c>
      <c r="K387" s="74">
        <v>21</v>
      </c>
      <c r="L387" s="74">
        <v>19</v>
      </c>
      <c r="M387" s="74">
        <v>20</v>
      </c>
      <c r="N387" s="74">
        <v>24</v>
      </c>
      <c r="O387" s="123">
        <v>26</v>
      </c>
      <c r="P387" s="58">
        <f>MIN(F387:O387)</f>
        <v>19</v>
      </c>
      <c r="Q387" s="58">
        <f>E387-P387</f>
        <v>13</v>
      </c>
      <c r="R387" s="59">
        <f>Q387/E387</f>
        <v>0.40625</v>
      </c>
      <c r="T387" s="182"/>
      <c r="U387" s="182"/>
      <c r="V387" s="1"/>
      <c r="W387" s="1"/>
      <c r="X387" s="1"/>
    </row>
    <row r="388" spans="2:24" ht="9.75" customHeight="1" x14ac:dyDescent="0.4">
      <c r="C388" s="17"/>
      <c r="D388" s="17" t="s">
        <v>377</v>
      </c>
      <c r="E388" s="17"/>
      <c r="F388" s="32"/>
      <c r="G388" s="6"/>
      <c r="H388" s="6"/>
      <c r="I388" s="6"/>
      <c r="J388" s="6"/>
      <c r="K388" s="6"/>
      <c r="L388" s="6"/>
      <c r="M388" s="6"/>
      <c r="N388" s="6"/>
      <c r="O388" s="31"/>
      <c r="P388" s="32"/>
      <c r="Q388" s="6"/>
      <c r="R388" s="59"/>
      <c r="T388" s="182"/>
      <c r="U388" s="182"/>
      <c r="V388" s="1"/>
      <c r="W388" s="1"/>
      <c r="X388" s="1"/>
    </row>
    <row r="389" spans="2:24" ht="9.75" customHeight="1" x14ac:dyDescent="0.4">
      <c r="C389" s="17"/>
      <c r="D389" s="17" t="s">
        <v>374</v>
      </c>
      <c r="E389" s="17"/>
      <c r="F389" s="32"/>
      <c r="G389" s="6"/>
      <c r="H389" s="6"/>
      <c r="I389" s="6"/>
      <c r="J389" s="6"/>
      <c r="K389" s="6"/>
      <c r="L389" s="6"/>
      <c r="M389" s="6"/>
      <c r="N389" s="6"/>
      <c r="O389" s="31"/>
      <c r="P389" s="32"/>
      <c r="Q389" s="6"/>
      <c r="R389" s="59"/>
      <c r="T389" s="182"/>
      <c r="U389" s="182"/>
      <c r="V389" s="1"/>
      <c r="W389" s="1"/>
      <c r="X389" s="1"/>
    </row>
    <row r="390" spans="2:24" ht="9.75" customHeight="1" x14ac:dyDescent="0.4">
      <c r="C390" s="17"/>
      <c r="D390" s="17" t="s">
        <v>377</v>
      </c>
      <c r="E390" s="17"/>
      <c r="F390" s="32"/>
      <c r="G390" s="6"/>
      <c r="H390" s="6"/>
      <c r="I390" s="6"/>
      <c r="J390" s="6"/>
      <c r="K390" s="6"/>
      <c r="L390" s="6"/>
      <c r="M390" s="6"/>
      <c r="N390" s="6"/>
      <c r="O390" s="31"/>
      <c r="P390" s="32"/>
      <c r="Q390" s="6"/>
      <c r="R390" s="59"/>
      <c r="T390" s="182"/>
      <c r="U390" s="182"/>
      <c r="V390" s="1"/>
      <c r="W390" s="1"/>
      <c r="X390" s="1"/>
    </row>
    <row r="391" spans="2:24" ht="9.75" customHeight="1" x14ac:dyDescent="0.4">
      <c r="C391" s="17"/>
      <c r="D391" s="17" t="s">
        <v>374</v>
      </c>
      <c r="E391" s="17"/>
      <c r="F391" s="32"/>
      <c r="G391" s="6"/>
      <c r="H391" s="6"/>
      <c r="I391" s="6"/>
      <c r="J391" s="6"/>
      <c r="K391" s="6"/>
      <c r="L391" s="6"/>
      <c r="M391" s="6"/>
      <c r="N391" s="6"/>
      <c r="O391" s="31"/>
      <c r="P391" s="32"/>
      <c r="Q391" s="6"/>
      <c r="R391" s="59"/>
      <c r="T391" s="182"/>
      <c r="U391" s="182"/>
      <c r="V391" s="1"/>
      <c r="W391" s="1"/>
      <c r="X391" s="1"/>
    </row>
    <row r="392" spans="2:24" ht="9.75" customHeight="1" x14ac:dyDescent="0.4">
      <c r="C392" s="17"/>
      <c r="D392" s="17" t="s">
        <v>374</v>
      </c>
      <c r="E392" s="17"/>
      <c r="F392" s="32"/>
      <c r="G392" s="6"/>
      <c r="H392" s="6"/>
      <c r="I392" s="6"/>
      <c r="J392" s="6"/>
      <c r="K392" s="6"/>
      <c r="L392" s="6"/>
      <c r="M392" s="6"/>
      <c r="N392" s="6"/>
      <c r="O392" s="31"/>
      <c r="P392" s="32"/>
      <c r="Q392" s="6"/>
      <c r="R392" s="59"/>
      <c r="T392" s="182"/>
      <c r="U392" s="182"/>
      <c r="V392" s="1"/>
      <c r="W392" s="1"/>
      <c r="X392" s="1"/>
    </row>
    <row r="393" spans="2:24" ht="9.75" customHeight="1" x14ac:dyDescent="0.4">
      <c r="C393" s="17"/>
      <c r="D393" s="17" t="s">
        <v>374</v>
      </c>
      <c r="E393" s="17"/>
      <c r="F393" s="32"/>
      <c r="G393" s="6"/>
      <c r="H393" s="6"/>
      <c r="I393" s="6"/>
      <c r="J393" s="6"/>
      <c r="K393" s="6"/>
      <c r="L393" s="6"/>
      <c r="M393" s="6"/>
      <c r="N393" s="6"/>
      <c r="O393" s="31"/>
      <c r="P393" s="32"/>
      <c r="Q393" s="6"/>
      <c r="R393" s="59"/>
      <c r="T393" s="182"/>
      <c r="U393" s="182"/>
      <c r="V393" s="1"/>
      <c r="W393" s="1"/>
      <c r="X393" s="1"/>
    </row>
    <row r="394" spans="2:24" ht="9.75" customHeight="1" x14ac:dyDescent="0.4">
      <c r="C394" s="17"/>
      <c r="D394" s="17" t="s">
        <v>310</v>
      </c>
      <c r="E394" s="17">
        <v>2</v>
      </c>
      <c r="F394" s="32">
        <v>1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31">
        <v>0</v>
      </c>
      <c r="P394" s="32">
        <f>MIN(F394:O394)</f>
        <v>0</v>
      </c>
      <c r="Q394" s="6">
        <f>E394-P394</f>
        <v>2</v>
      </c>
      <c r="R394" s="59">
        <f>Q394/E394</f>
        <v>1</v>
      </c>
      <c r="T394" s="182"/>
      <c r="U394" s="182"/>
      <c r="V394" s="1"/>
      <c r="W394" s="1"/>
      <c r="X394" s="1"/>
    </row>
    <row r="395" spans="2:24" ht="9.75" customHeight="1" x14ac:dyDescent="0.4">
      <c r="C395" s="17"/>
      <c r="D395" s="17" t="s">
        <v>311</v>
      </c>
      <c r="E395" s="17"/>
      <c r="F395" s="32"/>
      <c r="G395" s="6"/>
      <c r="H395" s="6"/>
      <c r="I395" s="6"/>
      <c r="J395" s="6"/>
      <c r="K395" s="6"/>
      <c r="L395" s="6"/>
      <c r="M395" s="6"/>
      <c r="N395" s="6"/>
      <c r="O395" s="31"/>
      <c r="P395" s="32"/>
      <c r="Q395" s="6"/>
      <c r="R395" s="59"/>
      <c r="T395" s="182"/>
      <c r="U395" s="182"/>
      <c r="V395" s="1"/>
      <c r="W395" s="1"/>
      <c r="X395" s="1"/>
    </row>
    <row r="396" spans="2:24" ht="9.75" customHeight="1" x14ac:dyDescent="0.4">
      <c r="C396" s="17"/>
      <c r="D396" s="17" t="s">
        <v>312</v>
      </c>
      <c r="E396" s="17"/>
      <c r="F396" s="32"/>
      <c r="G396" s="6"/>
      <c r="H396" s="6"/>
      <c r="I396" s="6"/>
      <c r="J396" s="6"/>
      <c r="K396" s="6"/>
      <c r="L396" s="6"/>
      <c r="M396" s="6"/>
      <c r="N396" s="6"/>
      <c r="O396" s="31"/>
      <c r="P396" s="32"/>
      <c r="Q396" s="6"/>
      <c r="R396" s="59"/>
      <c r="T396" s="182"/>
      <c r="U396" s="182"/>
      <c r="V396" s="1"/>
      <c r="W396" s="1"/>
      <c r="X396" s="1"/>
    </row>
    <row r="397" spans="2:24" ht="9.75" customHeight="1" x14ac:dyDescent="0.4">
      <c r="C397" s="17"/>
      <c r="D397" s="17" t="s">
        <v>313</v>
      </c>
      <c r="E397" s="17"/>
      <c r="F397" s="32"/>
      <c r="G397" s="6"/>
      <c r="H397" s="6"/>
      <c r="I397" s="6"/>
      <c r="J397" s="6"/>
      <c r="K397" s="6"/>
      <c r="L397" s="6"/>
      <c r="M397" s="6"/>
      <c r="N397" s="6"/>
      <c r="O397" s="31"/>
      <c r="P397" s="32"/>
      <c r="Q397" s="6"/>
      <c r="R397" s="59"/>
      <c r="T397" s="182"/>
      <c r="U397" s="182"/>
      <c r="V397" s="1"/>
      <c r="W397" s="1"/>
      <c r="X397" s="1"/>
    </row>
    <row r="398" spans="2:24" ht="9.75" customHeight="1" x14ac:dyDescent="0.4">
      <c r="B398" s="219" t="s">
        <v>395</v>
      </c>
      <c r="C398" s="34"/>
      <c r="D398" s="104" t="s">
        <v>314</v>
      </c>
      <c r="E398" s="104">
        <f t="shared" ref="E398:O398" si="73">SUM(E382:E397)</f>
        <v>34</v>
      </c>
      <c r="F398" s="104">
        <f t="shared" si="73"/>
        <v>28</v>
      </c>
      <c r="G398" s="128">
        <f t="shared" si="73"/>
        <v>23</v>
      </c>
      <c r="H398" s="128">
        <f t="shared" si="73"/>
        <v>21</v>
      </c>
      <c r="I398" s="128">
        <f t="shared" si="73"/>
        <v>19</v>
      </c>
      <c r="J398" s="128">
        <f t="shared" si="73"/>
        <v>22</v>
      </c>
      <c r="K398" s="128">
        <f t="shared" si="73"/>
        <v>21</v>
      </c>
      <c r="L398" s="128">
        <f t="shared" si="73"/>
        <v>19</v>
      </c>
      <c r="M398" s="128">
        <f t="shared" si="73"/>
        <v>20</v>
      </c>
      <c r="N398" s="128">
        <f t="shared" si="73"/>
        <v>24</v>
      </c>
      <c r="O398" s="129">
        <f t="shared" si="73"/>
        <v>26</v>
      </c>
      <c r="P398" s="128">
        <f>MIN(F398:O398)</f>
        <v>19</v>
      </c>
      <c r="Q398" s="128">
        <f>E398-P398</f>
        <v>15</v>
      </c>
      <c r="R398" s="72">
        <f>Q398/E398</f>
        <v>0.44117647058823528</v>
      </c>
      <c r="T398" s="182"/>
      <c r="U398" s="182"/>
      <c r="V398" s="1"/>
      <c r="W398" s="1"/>
      <c r="X398" s="1"/>
    </row>
    <row r="399" spans="2:24" ht="9.75" customHeight="1" x14ac:dyDescent="0.4">
      <c r="C399" s="15" t="s">
        <v>122</v>
      </c>
      <c r="D399" s="15" t="s">
        <v>300</v>
      </c>
      <c r="E399" s="17"/>
      <c r="F399" s="32"/>
      <c r="G399" s="6"/>
      <c r="H399" s="6"/>
      <c r="I399" s="6"/>
      <c r="J399" s="6"/>
      <c r="K399" s="6"/>
      <c r="L399" s="6"/>
      <c r="M399" s="6"/>
      <c r="N399" s="6"/>
      <c r="O399" s="31"/>
      <c r="P399" s="32"/>
      <c r="Q399" s="6"/>
      <c r="R399" s="59"/>
      <c r="T399" s="182"/>
      <c r="U399" s="182"/>
      <c r="V399" s="1"/>
      <c r="W399" s="1"/>
      <c r="X399" s="1"/>
    </row>
    <row r="400" spans="2:24" ht="9.75" customHeight="1" x14ac:dyDescent="0.4">
      <c r="C400" s="17"/>
      <c r="D400" s="17" t="s">
        <v>301</v>
      </c>
      <c r="E400" s="17"/>
      <c r="F400" s="32"/>
      <c r="G400" s="6"/>
      <c r="H400" s="6"/>
      <c r="I400" s="6"/>
      <c r="J400" s="6"/>
      <c r="K400" s="6"/>
      <c r="L400" s="6"/>
      <c r="M400" s="6"/>
      <c r="N400" s="6"/>
      <c r="O400" s="31"/>
      <c r="P400" s="32"/>
      <c r="Q400" s="6"/>
      <c r="R400" s="59"/>
      <c r="T400" s="182"/>
      <c r="U400" s="182"/>
      <c r="V400" s="1"/>
      <c r="W400" s="1"/>
      <c r="X400" s="1"/>
    </row>
    <row r="401" spans="2:24" ht="9.75" customHeight="1" x14ac:dyDescent="0.4">
      <c r="C401" s="17"/>
      <c r="D401" s="17" t="s">
        <v>303</v>
      </c>
      <c r="E401" s="17"/>
      <c r="F401" s="32"/>
      <c r="G401" s="6"/>
      <c r="H401" s="6"/>
      <c r="I401" s="6"/>
      <c r="J401" s="6"/>
      <c r="K401" s="6"/>
      <c r="L401" s="6"/>
      <c r="M401" s="6"/>
      <c r="N401" s="6"/>
      <c r="O401" s="31"/>
      <c r="P401" s="32"/>
      <c r="Q401" s="6"/>
      <c r="R401" s="59"/>
      <c r="T401" s="182"/>
      <c r="U401" s="182"/>
      <c r="V401" s="1"/>
      <c r="W401" s="1"/>
      <c r="X401" s="1"/>
    </row>
    <row r="402" spans="2:24" ht="9.75" customHeight="1" x14ac:dyDescent="0.4">
      <c r="C402" s="17"/>
      <c r="D402" s="17" t="s">
        <v>369</v>
      </c>
      <c r="E402" s="17"/>
      <c r="F402" s="32"/>
      <c r="G402" s="6"/>
      <c r="H402" s="6"/>
      <c r="I402" s="6"/>
      <c r="J402" s="6"/>
      <c r="K402" s="6"/>
      <c r="L402" s="6"/>
      <c r="M402" s="6"/>
      <c r="N402" s="6"/>
      <c r="O402" s="31"/>
      <c r="P402" s="32"/>
      <c r="Q402" s="6"/>
      <c r="R402" s="59"/>
      <c r="T402" s="182"/>
      <c r="U402" s="182"/>
      <c r="V402" s="1"/>
      <c r="W402" s="1"/>
      <c r="X402" s="1"/>
    </row>
    <row r="403" spans="2:24" ht="9.75" customHeight="1" x14ac:dyDescent="0.4">
      <c r="C403" s="17"/>
      <c r="D403" s="17" t="s">
        <v>369</v>
      </c>
      <c r="E403" s="17"/>
      <c r="F403" s="32"/>
      <c r="G403" s="6"/>
      <c r="H403" s="6"/>
      <c r="I403" s="6"/>
      <c r="J403" s="6"/>
      <c r="K403" s="6"/>
      <c r="L403" s="6"/>
      <c r="M403" s="6"/>
      <c r="N403" s="6"/>
      <c r="O403" s="31"/>
      <c r="P403" s="32"/>
      <c r="Q403" s="6"/>
      <c r="R403" s="59"/>
      <c r="T403" s="182"/>
      <c r="U403" s="182"/>
      <c r="V403" s="1"/>
      <c r="W403" s="1"/>
      <c r="X403" s="1"/>
    </row>
    <row r="404" spans="2:24" ht="9.75" customHeight="1" x14ac:dyDescent="0.4">
      <c r="C404" s="17"/>
      <c r="D404" s="17" t="s">
        <v>308</v>
      </c>
      <c r="E404" s="17">
        <v>7</v>
      </c>
      <c r="F404" s="32">
        <v>6</v>
      </c>
      <c r="G404" s="6">
        <v>6</v>
      </c>
      <c r="H404" s="6">
        <v>6</v>
      </c>
      <c r="I404" s="6">
        <v>6</v>
      </c>
      <c r="J404" s="6">
        <v>4</v>
      </c>
      <c r="K404" s="6">
        <v>5</v>
      </c>
      <c r="L404" s="6">
        <v>6</v>
      </c>
      <c r="M404" s="6">
        <v>4</v>
      </c>
      <c r="N404" s="6">
        <v>5</v>
      </c>
      <c r="O404" s="31">
        <v>5</v>
      </c>
      <c r="P404" s="32">
        <f>MIN(F404:O404)</f>
        <v>4</v>
      </c>
      <c r="Q404" s="6">
        <f>E404-P404</f>
        <v>3</v>
      </c>
      <c r="R404" s="59">
        <f>Q404/E404</f>
        <v>0.42857142857142855</v>
      </c>
      <c r="T404" s="182"/>
      <c r="U404" s="182"/>
      <c r="V404" s="1"/>
      <c r="W404" s="1"/>
      <c r="X404" s="1"/>
    </row>
    <row r="405" spans="2:24" ht="9.75" customHeight="1" x14ac:dyDescent="0.4">
      <c r="C405" s="17"/>
      <c r="D405" s="17" t="s">
        <v>374</v>
      </c>
      <c r="E405" s="17"/>
      <c r="F405" s="32"/>
      <c r="G405" s="6"/>
      <c r="H405" s="6"/>
      <c r="I405" s="6"/>
      <c r="J405" s="6"/>
      <c r="K405" s="6"/>
      <c r="L405" s="6"/>
      <c r="M405" s="6"/>
      <c r="N405" s="6"/>
      <c r="O405" s="31"/>
      <c r="P405" s="32"/>
      <c r="Q405" s="6"/>
      <c r="R405" s="59"/>
      <c r="T405" s="182"/>
      <c r="U405" s="182"/>
      <c r="V405" s="1"/>
      <c r="W405" s="1"/>
      <c r="X405" s="1"/>
    </row>
    <row r="406" spans="2:24" ht="9.75" customHeight="1" x14ac:dyDescent="0.4">
      <c r="C406" s="17"/>
      <c r="D406" s="17" t="s">
        <v>374</v>
      </c>
      <c r="E406" s="17"/>
      <c r="F406" s="32"/>
      <c r="G406" s="6"/>
      <c r="H406" s="6"/>
      <c r="I406" s="6"/>
      <c r="J406" s="6"/>
      <c r="K406" s="6"/>
      <c r="L406" s="6"/>
      <c r="M406" s="6"/>
      <c r="N406" s="6"/>
      <c r="O406" s="31"/>
      <c r="P406" s="32"/>
      <c r="Q406" s="6"/>
      <c r="R406" s="59"/>
      <c r="T406" s="182"/>
      <c r="U406" s="182"/>
      <c r="V406" s="1"/>
      <c r="W406" s="1"/>
      <c r="X406" s="1"/>
    </row>
    <row r="407" spans="2:24" ht="9.75" customHeight="1" x14ac:dyDescent="0.4">
      <c r="C407" s="17"/>
      <c r="D407" s="17" t="s">
        <v>374</v>
      </c>
      <c r="E407" s="17"/>
      <c r="F407" s="32"/>
      <c r="G407" s="6"/>
      <c r="H407" s="6"/>
      <c r="I407" s="6"/>
      <c r="J407" s="6"/>
      <c r="K407" s="6"/>
      <c r="L407" s="6"/>
      <c r="M407" s="6"/>
      <c r="N407" s="6"/>
      <c r="O407" s="31"/>
      <c r="P407" s="32"/>
      <c r="Q407" s="6"/>
      <c r="R407" s="59"/>
      <c r="T407" s="182"/>
      <c r="U407" s="182"/>
      <c r="V407" s="1"/>
      <c r="W407" s="1"/>
      <c r="X407" s="1"/>
    </row>
    <row r="408" spans="2:24" ht="9.75" customHeight="1" x14ac:dyDescent="0.4">
      <c r="C408" s="17"/>
      <c r="D408" s="17" t="s">
        <v>374</v>
      </c>
      <c r="E408" s="17"/>
      <c r="F408" s="32"/>
      <c r="G408" s="6"/>
      <c r="H408" s="6"/>
      <c r="I408" s="6"/>
      <c r="J408" s="6"/>
      <c r="K408" s="6"/>
      <c r="L408" s="6"/>
      <c r="M408" s="6"/>
      <c r="N408" s="6"/>
      <c r="O408" s="31"/>
      <c r="P408" s="32"/>
      <c r="Q408" s="6"/>
      <c r="R408" s="59"/>
      <c r="T408" s="182"/>
      <c r="U408" s="182"/>
      <c r="V408" s="1"/>
      <c r="W408" s="1"/>
      <c r="X408" s="1"/>
    </row>
    <row r="409" spans="2:24" ht="9.75" customHeight="1" x14ac:dyDescent="0.4">
      <c r="C409" s="17"/>
      <c r="D409" s="17" t="s">
        <v>374</v>
      </c>
      <c r="E409" s="17"/>
      <c r="F409" s="32"/>
      <c r="G409" s="6"/>
      <c r="H409" s="6"/>
      <c r="I409" s="6"/>
      <c r="J409" s="6"/>
      <c r="K409" s="6"/>
      <c r="L409" s="6"/>
      <c r="M409" s="6"/>
      <c r="N409" s="6"/>
      <c r="O409" s="31"/>
      <c r="P409" s="32"/>
      <c r="Q409" s="6"/>
      <c r="R409" s="59"/>
      <c r="T409" s="182"/>
      <c r="U409" s="182"/>
      <c r="V409" s="1"/>
      <c r="W409" s="1"/>
      <c r="X409" s="1"/>
    </row>
    <row r="410" spans="2:24" ht="9.75" customHeight="1" x14ac:dyDescent="0.4">
      <c r="C410" s="17"/>
      <c r="D410" s="17" t="s">
        <v>374</v>
      </c>
      <c r="E410" s="17"/>
      <c r="F410" s="32"/>
      <c r="G410" s="6"/>
      <c r="H410" s="6"/>
      <c r="I410" s="6"/>
      <c r="J410" s="6"/>
      <c r="K410" s="6"/>
      <c r="L410" s="6"/>
      <c r="M410" s="6"/>
      <c r="N410" s="6"/>
      <c r="O410" s="31"/>
      <c r="P410" s="32"/>
      <c r="Q410" s="6"/>
      <c r="R410" s="59"/>
      <c r="T410" s="182"/>
      <c r="U410" s="182"/>
      <c r="V410" s="1"/>
      <c r="W410" s="1"/>
      <c r="X410" s="1"/>
    </row>
    <row r="411" spans="2:24" ht="9.75" customHeight="1" x14ac:dyDescent="0.4">
      <c r="C411" s="17"/>
      <c r="D411" s="17" t="s">
        <v>310</v>
      </c>
      <c r="E411" s="17"/>
      <c r="F411" s="32"/>
      <c r="G411" s="6"/>
      <c r="H411" s="6"/>
      <c r="I411" s="6"/>
      <c r="J411" s="6"/>
      <c r="K411" s="6"/>
      <c r="L411" s="6"/>
      <c r="M411" s="6"/>
      <c r="N411" s="6"/>
      <c r="O411" s="31"/>
      <c r="P411" s="32"/>
      <c r="Q411" s="6"/>
      <c r="R411" s="59"/>
      <c r="T411" s="182"/>
      <c r="U411" s="182"/>
      <c r="V411" s="1"/>
      <c r="W411" s="1"/>
      <c r="X411" s="1"/>
    </row>
    <row r="412" spans="2:24" ht="9.75" customHeight="1" x14ac:dyDescent="0.4">
      <c r="C412" s="17"/>
      <c r="D412" s="17" t="s">
        <v>311</v>
      </c>
      <c r="E412" s="17">
        <v>2</v>
      </c>
      <c r="F412" s="32">
        <v>0</v>
      </c>
      <c r="G412" s="6">
        <v>1</v>
      </c>
      <c r="H412" s="6">
        <v>0</v>
      </c>
      <c r="I412" s="6">
        <v>0</v>
      </c>
      <c r="J412" s="6">
        <v>1</v>
      </c>
      <c r="K412" s="6">
        <v>0</v>
      </c>
      <c r="L412" s="6">
        <v>1</v>
      </c>
      <c r="M412" s="6">
        <v>1</v>
      </c>
      <c r="N412" s="6">
        <v>1</v>
      </c>
      <c r="O412" s="31">
        <v>1</v>
      </c>
      <c r="P412" s="32">
        <f>MIN(F412:O412)</f>
        <v>0</v>
      </c>
      <c r="Q412" s="6">
        <f>E412-P412</f>
        <v>2</v>
      </c>
      <c r="R412" s="59">
        <f>Q412/E412</f>
        <v>1</v>
      </c>
      <c r="T412" s="182"/>
      <c r="U412" s="182"/>
      <c r="V412" s="1"/>
      <c r="W412" s="1"/>
      <c r="X412" s="1"/>
    </row>
    <row r="413" spans="2:24" ht="9.75" customHeight="1" x14ac:dyDescent="0.4">
      <c r="C413" s="17"/>
      <c r="D413" s="17" t="s">
        <v>312</v>
      </c>
      <c r="E413" s="17"/>
      <c r="F413" s="32"/>
      <c r="G413" s="6"/>
      <c r="H413" s="6"/>
      <c r="I413" s="6"/>
      <c r="J413" s="6"/>
      <c r="K413" s="6"/>
      <c r="L413" s="6"/>
      <c r="M413" s="6"/>
      <c r="N413" s="6"/>
      <c r="O413" s="31"/>
      <c r="P413" s="32"/>
      <c r="Q413" s="6"/>
      <c r="R413" s="59"/>
      <c r="T413" s="182"/>
      <c r="U413" s="182"/>
      <c r="V413" s="1"/>
      <c r="W413" s="1"/>
      <c r="X413" s="1"/>
    </row>
    <row r="414" spans="2:24" ht="9.75" customHeight="1" x14ac:dyDescent="0.4">
      <c r="C414" s="17"/>
      <c r="D414" s="17" t="s">
        <v>313</v>
      </c>
      <c r="E414" s="17">
        <v>4</v>
      </c>
      <c r="F414" s="32">
        <v>3</v>
      </c>
      <c r="G414" s="6">
        <v>3</v>
      </c>
      <c r="H414" s="6">
        <v>1</v>
      </c>
      <c r="I414" s="6">
        <v>1</v>
      </c>
      <c r="J414" s="6">
        <v>1</v>
      </c>
      <c r="K414" s="6">
        <v>4</v>
      </c>
      <c r="L414" s="6">
        <v>3</v>
      </c>
      <c r="M414" s="6">
        <v>0</v>
      </c>
      <c r="N414" s="6">
        <v>2</v>
      </c>
      <c r="O414" s="31">
        <v>3</v>
      </c>
      <c r="P414" s="32">
        <f t="shared" ref="P414:P415" si="74">MIN(F414:O414)</f>
        <v>0</v>
      </c>
      <c r="Q414" s="6">
        <f t="shared" ref="Q414:Q415" si="75">E414-P414</f>
        <v>4</v>
      </c>
      <c r="R414" s="59">
        <f t="shared" ref="R414:R415" si="76">Q414/E414</f>
        <v>1</v>
      </c>
      <c r="T414" s="182"/>
      <c r="U414" s="182"/>
      <c r="V414" s="1"/>
      <c r="W414" s="1"/>
      <c r="X414" s="1"/>
    </row>
    <row r="415" spans="2:24" ht="9.75" customHeight="1" x14ac:dyDescent="0.4">
      <c r="B415" s="219" t="s">
        <v>395</v>
      </c>
      <c r="C415" s="34"/>
      <c r="D415" s="104" t="s">
        <v>314</v>
      </c>
      <c r="E415" s="104">
        <f t="shared" ref="E415:O415" si="77">SUM(E399:E414)</f>
        <v>13</v>
      </c>
      <c r="F415" s="104">
        <f t="shared" si="77"/>
        <v>9</v>
      </c>
      <c r="G415" s="128">
        <f t="shared" si="77"/>
        <v>10</v>
      </c>
      <c r="H415" s="128">
        <f t="shared" si="77"/>
        <v>7</v>
      </c>
      <c r="I415" s="128">
        <f t="shared" si="77"/>
        <v>7</v>
      </c>
      <c r="J415" s="128">
        <f t="shared" si="77"/>
        <v>6</v>
      </c>
      <c r="K415" s="128">
        <f t="shared" si="77"/>
        <v>9</v>
      </c>
      <c r="L415" s="128">
        <f t="shared" si="77"/>
        <v>10</v>
      </c>
      <c r="M415" s="128">
        <f t="shared" si="77"/>
        <v>5</v>
      </c>
      <c r="N415" s="128">
        <f t="shared" si="77"/>
        <v>8</v>
      </c>
      <c r="O415" s="129">
        <f t="shared" si="77"/>
        <v>9</v>
      </c>
      <c r="P415" s="128">
        <f t="shared" si="74"/>
        <v>5</v>
      </c>
      <c r="Q415" s="128">
        <f t="shared" si="75"/>
        <v>8</v>
      </c>
      <c r="R415" s="72">
        <f t="shared" si="76"/>
        <v>0.61538461538461542</v>
      </c>
      <c r="T415" s="182"/>
      <c r="U415" s="182"/>
      <c r="V415" s="1"/>
      <c r="W415" s="1"/>
      <c r="X415" s="1"/>
    </row>
    <row r="416" spans="2:24" ht="9.75" customHeight="1" x14ac:dyDescent="0.4">
      <c r="C416" s="15" t="s">
        <v>140</v>
      </c>
      <c r="D416" s="15" t="s">
        <v>300</v>
      </c>
      <c r="E416" s="17"/>
      <c r="F416" s="32"/>
      <c r="G416" s="6"/>
      <c r="H416" s="6"/>
      <c r="I416" s="6"/>
      <c r="J416" s="6"/>
      <c r="K416" s="6"/>
      <c r="L416" s="6"/>
      <c r="M416" s="6"/>
      <c r="N416" s="6"/>
      <c r="O416" s="31"/>
      <c r="P416" s="32"/>
      <c r="Q416" s="6"/>
      <c r="R416" s="59"/>
      <c r="T416" s="182"/>
      <c r="U416" s="182"/>
      <c r="V416" s="1"/>
      <c r="W416" s="1"/>
      <c r="X416" s="1"/>
    </row>
    <row r="417" spans="2:24" ht="9.75" customHeight="1" x14ac:dyDescent="0.4">
      <c r="C417" s="17"/>
      <c r="D417" s="17" t="s">
        <v>301</v>
      </c>
      <c r="E417" s="17"/>
      <c r="F417" s="32"/>
      <c r="G417" s="6"/>
      <c r="H417" s="6"/>
      <c r="I417" s="6"/>
      <c r="J417" s="6"/>
      <c r="K417" s="6"/>
      <c r="L417" s="6"/>
      <c r="M417" s="6"/>
      <c r="N417" s="6"/>
      <c r="O417" s="31"/>
      <c r="P417" s="32"/>
      <c r="Q417" s="6"/>
      <c r="R417" s="59"/>
      <c r="T417" s="182"/>
      <c r="U417" s="182"/>
      <c r="V417" s="1"/>
      <c r="W417" s="1"/>
      <c r="X417" s="1"/>
    </row>
    <row r="418" spans="2:24" ht="9.75" customHeight="1" x14ac:dyDescent="0.4">
      <c r="C418" s="17"/>
      <c r="D418" s="17" t="s">
        <v>303</v>
      </c>
      <c r="E418" s="17"/>
      <c r="F418" s="32"/>
      <c r="G418" s="6"/>
      <c r="H418" s="6"/>
      <c r="I418" s="6"/>
      <c r="J418" s="6"/>
      <c r="K418" s="6"/>
      <c r="L418" s="6"/>
      <c r="M418" s="6"/>
      <c r="N418" s="6"/>
      <c r="O418" s="31"/>
      <c r="P418" s="32"/>
      <c r="Q418" s="6"/>
      <c r="R418" s="59"/>
      <c r="T418" s="182"/>
      <c r="U418" s="182"/>
      <c r="V418" s="1"/>
      <c r="W418" s="1"/>
      <c r="X418" s="1"/>
    </row>
    <row r="419" spans="2:24" ht="9.75" customHeight="1" x14ac:dyDescent="0.4">
      <c r="C419" s="17"/>
      <c r="D419" s="17" t="s">
        <v>369</v>
      </c>
      <c r="E419" s="17"/>
      <c r="F419" s="32"/>
      <c r="G419" s="6"/>
      <c r="H419" s="6"/>
      <c r="I419" s="6"/>
      <c r="J419" s="6"/>
      <c r="K419" s="6"/>
      <c r="L419" s="6"/>
      <c r="M419" s="6"/>
      <c r="N419" s="6"/>
      <c r="O419" s="31"/>
      <c r="P419" s="32"/>
      <c r="Q419" s="6"/>
      <c r="R419" s="59"/>
      <c r="T419" s="182"/>
      <c r="U419" s="182"/>
      <c r="V419" s="1"/>
      <c r="W419" s="1"/>
      <c r="X419" s="1"/>
    </row>
    <row r="420" spans="2:24" ht="9.75" customHeight="1" x14ac:dyDescent="0.4">
      <c r="C420" s="17"/>
      <c r="D420" s="17" t="s">
        <v>369</v>
      </c>
      <c r="E420" s="17"/>
      <c r="F420" s="32"/>
      <c r="G420" s="6"/>
      <c r="H420" s="6"/>
      <c r="I420" s="6"/>
      <c r="J420" s="6"/>
      <c r="K420" s="6"/>
      <c r="L420" s="6"/>
      <c r="M420" s="6"/>
      <c r="N420" s="6"/>
      <c r="O420" s="31"/>
      <c r="P420" s="32"/>
      <c r="Q420" s="6"/>
      <c r="R420" s="59"/>
      <c r="T420" s="182"/>
      <c r="U420" s="182"/>
      <c r="V420" s="1"/>
      <c r="W420" s="1"/>
      <c r="X420" s="1"/>
    </row>
    <row r="421" spans="2:24" ht="9.75" customHeight="1" x14ac:dyDescent="0.4">
      <c r="C421" s="17"/>
      <c r="D421" s="17" t="s">
        <v>308</v>
      </c>
      <c r="E421" s="17">
        <v>5</v>
      </c>
      <c r="F421" s="83">
        <v>2</v>
      </c>
      <c r="G421" s="74">
        <v>2</v>
      </c>
      <c r="H421" s="74">
        <v>2</v>
      </c>
      <c r="I421" s="74">
        <v>2</v>
      </c>
      <c r="J421" s="74">
        <v>2</v>
      </c>
      <c r="K421" s="74">
        <v>2</v>
      </c>
      <c r="L421" s="74">
        <v>0</v>
      </c>
      <c r="M421" s="74">
        <v>1</v>
      </c>
      <c r="N421" s="74">
        <v>3</v>
      </c>
      <c r="O421" s="123">
        <v>2</v>
      </c>
      <c r="P421" s="54">
        <f>MIN(F421:O421)</f>
        <v>0</v>
      </c>
      <c r="Q421" s="58">
        <f>E421-P421</f>
        <v>5</v>
      </c>
      <c r="R421" s="59">
        <f>Q421/E421</f>
        <v>1</v>
      </c>
      <c r="T421" s="182"/>
      <c r="U421" s="182"/>
      <c r="V421" s="1"/>
      <c r="W421" s="1"/>
      <c r="X421" s="1"/>
    </row>
    <row r="422" spans="2:24" ht="9.75" customHeight="1" x14ac:dyDescent="0.4">
      <c r="C422" s="17"/>
      <c r="D422" s="17" t="s">
        <v>377</v>
      </c>
      <c r="E422" s="17"/>
      <c r="F422" s="32"/>
      <c r="G422" s="6"/>
      <c r="H422" s="6"/>
      <c r="I422" s="6"/>
      <c r="J422" s="6"/>
      <c r="K422" s="6"/>
      <c r="L422" s="6"/>
      <c r="M422" s="6"/>
      <c r="N422" s="6"/>
      <c r="O422" s="31"/>
      <c r="P422" s="32"/>
      <c r="Q422" s="6"/>
      <c r="R422" s="59"/>
      <c r="T422" s="182"/>
      <c r="U422" s="182"/>
      <c r="V422" s="1"/>
      <c r="W422" s="1"/>
      <c r="X422" s="1"/>
    </row>
    <row r="423" spans="2:24" ht="9.75" customHeight="1" x14ac:dyDescent="0.4">
      <c r="C423" s="17"/>
      <c r="D423" s="17" t="s">
        <v>374</v>
      </c>
      <c r="E423" s="17"/>
      <c r="F423" s="32"/>
      <c r="G423" s="6"/>
      <c r="H423" s="6"/>
      <c r="I423" s="6"/>
      <c r="J423" s="6"/>
      <c r="K423" s="6"/>
      <c r="L423" s="6"/>
      <c r="M423" s="6"/>
      <c r="N423" s="6"/>
      <c r="O423" s="31"/>
      <c r="P423" s="32"/>
      <c r="Q423" s="6"/>
      <c r="R423" s="59"/>
      <c r="T423" s="182"/>
      <c r="U423" s="182"/>
      <c r="V423" s="1"/>
      <c r="W423" s="1"/>
      <c r="X423" s="1"/>
    </row>
    <row r="424" spans="2:24" ht="9.75" customHeight="1" x14ac:dyDescent="0.4">
      <c r="C424" s="17"/>
      <c r="D424" s="17" t="s">
        <v>374</v>
      </c>
      <c r="E424" s="17"/>
      <c r="F424" s="32"/>
      <c r="G424" s="6"/>
      <c r="H424" s="6"/>
      <c r="I424" s="6"/>
      <c r="J424" s="6"/>
      <c r="K424" s="6"/>
      <c r="L424" s="6"/>
      <c r="M424" s="6"/>
      <c r="N424" s="6"/>
      <c r="O424" s="31"/>
      <c r="P424" s="32"/>
      <c r="Q424" s="6"/>
      <c r="R424" s="59"/>
      <c r="T424" s="182"/>
      <c r="U424" s="182"/>
      <c r="V424" s="1"/>
      <c r="W424" s="1"/>
      <c r="X424" s="1"/>
    </row>
    <row r="425" spans="2:24" ht="9.75" customHeight="1" x14ac:dyDescent="0.4">
      <c r="C425" s="17"/>
      <c r="D425" s="17" t="s">
        <v>374</v>
      </c>
      <c r="E425" s="17"/>
      <c r="F425" s="32"/>
      <c r="G425" s="6"/>
      <c r="H425" s="6"/>
      <c r="I425" s="6"/>
      <c r="J425" s="6"/>
      <c r="K425" s="6"/>
      <c r="L425" s="6"/>
      <c r="M425" s="6"/>
      <c r="N425" s="6"/>
      <c r="O425" s="31"/>
      <c r="P425" s="32"/>
      <c r="Q425" s="6"/>
      <c r="R425" s="59"/>
      <c r="T425" s="182"/>
      <c r="U425" s="182"/>
      <c r="V425" s="1"/>
      <c r="W425" s="1"/>
      <c r="X425" s="1"/>
    </row>
    <row r="426" spans="2:24" ht="9.75" customHeight="1" x14ac:dyDescent="0.4">
      <c r="C426" s="17"/>
      <c r="D426" s="17" t="s">
        <v>374</v>
      </c>
      <c r="E426" s="17"/>
      <c r="F426" s="32"/>
      <c r="G426" s="6"/>
      <c r="H426" s="6"/>
      <c r="I426" s="6"/>
      <c r="J426" s="6"/>
      <c r="K426" s="6"/>
      <c r="L426" s="6"/>
      <c r="M426" s="6"/>
      <c r="N426" s="6"/>
      <c r="O426" s="31"/>
      <c r="P426" s="32"/>
      <c r="Q426" s="6"/>
      <c r="R426" s="59"/>
      <c r="T426" s="182"/>
      <c r="U426" s="182"/>
      <c r="V426" s="1"/>
      <c r="W426" s="1"/>
      <c r="X426" s="1"/>
    </row>
    <row r="427" spans="2:24" ht="9.75" customHeight="1" x14ac:dyDescent="0.4">
      <c r="C427" s="17"/>
      <c r="D427" s="17" t="s">
        <v>374</v>
      </c>
      <c r="E427" s="17"/>
      <c r="F427" s="32"/>
      <c r="G427" s="6"/>
      <c r="H427" s="6"/>
      <c r="I427" s="6"/>
      <c r="J427" s="6"/>
      <c r="K427" s="6"/>
      <c r="L427" s="6"/>
      <c r="M427" s="6"/>
      <c r="N427" s="6"/>
      <c r="O427" s="31"/>
      <c r="P427" s="32"/>
      <c r="Q427" s="6"/>
      <c r="R427" s="59"/>
      <c r="T427" s="182"/>
      <c r="U427" s="182"/>
      <c r="V427" s="1"/>
      <c r="W427" s="1"/>
      <c r="X427" s="1"/>
    </row>
    <row r="428" spans="2:24" ht="9.75" customHeight="1" x14ac:dyDescent="0.4">
      <c r="C428" s="17"/>
      <c r="D428" s="17" t="s">
        <v>310</v>
      </c>
      <c r="E428" s="17">
        <v>2</v>
      </c>
      <c r="F428" s="32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31">
        <v>0</v>
      </c>
      <c r="P428" s="32">
        <f>MIN(F428:O428)</f>
        <v>0</v>
      </c>
      <c r="Q428" s="6">
        <f>E428-P428</f>
        <v>2</v>
      </c>
      <c r="R428" s="59">
        <f>Q428/E428</f>
        <v>1</v>
      </c>
      <c r="T428" s="182"/>
      <c r="U428" s="182"/>
      <c r="V428" s="1"/>
      <c r="W428" s="1"/>
      <c r="X428" s="1"/>
    </row>
    <row r="429" spans="2:24" ht="9.75" customHeight="1" x14ac:dyDescent="0.4">
      <c r="C429" s="17"/>
      <c r="D429" s="17" t="s">
        <v>311</v>
      </c>
      <c r="E429" s="17"/>
      <c r="F429" s="32"/>
      <c r="G429" s="6"/>
      <c r="H429" s="6"/>
      <c r="I429" s="6"/>
      <c r="J429" s="6"/>
      <c r="K429" s="6"/>
      <c r="L429" s="6"/>
      <c r="M429" s="6"/>
      <c r="N429" s="6"/>
      <c r="O429" s="31"/>
      <c r="P429" s="32"/>
      <c r="Q429" s="6"/>
      <c r="R429" s="59"/>
      <c r="T429" s="182"/>
      <c r="U429" s="182"/>
      <c r="V429" s="1"/>
      <c r="W429" s="1"/>
      <c r="X429" s="1"/>
    </row>
    <row r="430" spans="2:24" ht="9.75" customHeight="1" x14ac:dyDescent="0.4">
      <c r="C430" s="17"/>
      <c r="D430" s="17" t="s">
        <v>312</v>
      </c>
      <c r="E430" s="17"/>
      <c r="F430" s="32"/>
      <c r="G430" s="6"/>
      <c r="H430" s="6"/>
      <c r="I430" s="6"/>
      <c r="J430" s="6"/>
      <c r="K430" s="6"/>
      <c r="L430" s="6"/>
      <c r="M430" s="6"/>
      <c r="N430" s="6"/>
      <c r="O430" s="31"/>
      <c r="P430" s="32"/>
      <c r="Q430" s="6"/>
      <c r="R430" s="59"/>
      <c r="T430" s="182"/>
      <c r="U430" s="182"/>
      <c r="V430" s="1"/>
      <c r="W430" s="1"/>
      <c r="X430" s="1"/>
    </row>
    <row r="431" spans="2:24" ht="9.75" customHeight="1" x14ac:dyDescent="0.4">
      <c r="C431" s="17"/>
      <c r="D431" s="17" t="s">
        <v>313</v>
      </c>
      <c r="E431" s="17"/>
      <c r="F431" s="32"/>
      <c r="G431" s="6"/>
      <c r="H431" s="6"/>
      <c r="I431" s="6"/>
      <c r="J431" s="6"/>
      <c r="K431" s="6"/>
      <c r="L431" s="6"/>
      <c r="M431" s="6"/>
      <c r="N431" s="6"/>
      <c r="O431" s="31"/>
      <c r="P431" s="32"/>
      <c r="Q431" s="6"/>
      <c r="R431" s="59"/>
      <c r="T431" s="182"/>
      <c r="U431" s="182"/>
      <c r="V431" s="1"/>
      <c r="W431" s="1"/>
      <c r="X431" s="1"/>
    </row>
    <row r="432" spans="2:24" ht="9.75" customHeight="1" x14ac:dyDescent="0.4">
      <c r="B432" s="219" t="s">
        <v>395</v>
      </c>
      <c r="C432" s="34"/>
      <c r="D432" s="104" t="s">
        <v>314</v>
      </c>
      <c r="E432" s="104">
        <f t="shared" ref="E432:O432" si="78">SUM(E416:E431)</f>
        <v>7</v>
      </c>
      <c r="F432" s="104">
        <f t="shared" si="78"/>
        <v>2</v>
      </c>
      <c r="G432" s="128">
        <f t="shared" si="78"/>
        <v>2</v>
      </c>
      <c r="H432" s="128">
        <f t="shared" si="78"/>
        <v>2</v>
      </c>
      <c r="I432" s="128">
        <f t="shared" si="78"/>
        <v>2</v>
      </c>
      <c r="J432" s="128">
        <f t="shared" si="78"/>
        <v>2</v>
      </c>
      <c r="K432" s="128">
        <f t="shared" si="78"/>
        <v>2</v>
      </c>
      <c r="L432" s="128">
        <f t="shared" si="78"/>
        <v>0</v>
      </c>
      <c r="M432" s="128">
        <f t="shared" si="78"/>
        <v>1</v>
      </c>
      <c r="N432" s="128">
        <f t="shared" si="78"/>
        <v>3</v>
      </c>
      <c r="O432" s="129">
        <f t="shared" si="78"/>
        <v>2</v>
      </c>
      <c r="P432" s="128">
        <f t="shared" ref="P432:P433" si="79">MIN(F432:O432)</f>
        <v>0</v>
      </c>
      <c r="Q432" s="128">
        <f t="shared" ref="Q432:Q433" si="80">E432-P432</f>
        <v>7</v>
      </c>
      <c r="R432" s="72">
        <f t="shared" ref="R432:R433" si="81">Q432/E432</f>
        <v>1</v>
      </c>
      <c r="T432" s="182"/>
      <c r="U432" s="182"/>
      <c r="V432" s="1"/>
      <c r="W432" s="1"/>
      <c r="X432" s="1"/>
    </row>
    <row r="433" spans="3:24" ht="9.75" customHeight="1" x14ac:dyDescent="0.4">
      <c r="C433" s="15" t="s">
        <v>155</v>
      </c>
      <c r="D433" s="15" t="s">
        <v>503</v>
      </c>
      <c r="E433" s="17">
        <v>86</v>
      </c>
      <c r="F433" s="32">
        <v>18</v>
      </c>
      <c r="G433" s="6">
        <v>0</v>
      </c>
      <c r="H433" s="6">
        <v>0</v>
      </c>
      <c r="I433" s="6">
        <v>0</v>
      </c>
      <c r="J433" s="6">
        <v>0</v>
      </c>
      <c r="K433" s="6">
        <v>5</v>
      </c>
      <c r="L433" s="6">
        <v>11</v>
      </c>
      <c r="M433" s="6">
        <v>12</v>
      </c>
      <c r="N433" s="6">
        <v>25</v>
      </c>
      <c r="O433" s="31">
        <v>27</v>
      </c>
      <c r="P433" s="32">
        <f t="shared" si="79"/>
        <v>0</v>
      </c>
      <c r="Q433" s="6">
        <f t="shared" si="80"/>
        <v>86</v>
      </c>
      <c r="R433" s="59">
        <f t="shared" si="81"/>
        <v>1</v>
      </c>
      <c r="T433" s="182"/>
      <c r="U433" s="182"/>
      <c r="V433" s="1"/>
      <c r="W433" s="1"/>
      <c r="X433" s="1"/>
    </row>
    <row r="434" spans="3:24" ht="9.75" customHeight="1" x14ac:dyDescent="0.4">
      <c r="C434" s="17"/>
      <c r="D434" s="17" t="s">
        <v>301</v>
      </c>
      <c r="E434" s="17"/>
      <c r="F434" s="32"/>
      <c r="G434" s="6"/>
      <c r="H434" s="6"/>
      <c r="I434" s="6"/>
      <c r="J434" s="6"/>
      <c r="K434" s="6"/>
      <c r="L434" s="6"/>
      <c r="M434" s="6"/>
      <c r="N434" s="6"/>
      <c r="O434" s="31"/>
      <c r="P434" s="32"/>
      <c r="Q434" s="6"/>
      <c r="R434" s="59"/>
      <c r="T434" s="182"/>
      <c r="U434" s="182"/>
      <c r="V434" s="1"/>
      <c r="W434" s="1"/>
      <c r="X434" s="1"/>
    </row>
    <row r="435" spans="3:24" ht="9.75" customHeight="1" x14ac:dyDescent="0.4">
      <c r="C435" s="17"/>
      <c r="D435" s="17" t="s">
        <v>303</v>
      </c>
      <c r="E435" s="17"/>
      <c r="F435" s="32"/>
      <c r="G435" s="6"/>
      <c r="H435" s="6"/>
      <c r="I435" s="6"/>
      <c r="J435" s="6"/>
      <c r="K435" s="6"/>
      <c r="L435" s="6"/>
      <c r="M435" s="6"/>
      <c r="N435" s="6"/>
      <c r="O435" s="31"/>
      <c r="P435" s="32"/>
      <c r="Q435" s="6"/>
      <c r="R435" s="59"/>
      <c r="T435" s="182"/>
      <c r="U435" s="182"/>
      <c r="V435" s="1"/>
      <c r="W435" s="1"/>
      <c r="X435" s="1"/>
    </row>
    <row r="436" spans="3:24" ht="9.75" customHeight="1" x14ac:dyDescent="0.4">
      <c r="C436" s="17"/>
      <c r="D436" s="17" t="s">
        <v>369</v>
      </c>
      <c r="E436" s="17"/>
      <c r="F436" s="32"/>
      <c r="G436" s="6"/>
      <c r="H436" s="6"/>
      <c r="I436" s="6"/>
      <c r="J436" s="6"/>
      <c r="K436" s="6"/>
      <c r="L436" s="6"/>
      <c r="M436" s="6"/>
      <c r="N436" s="6"/>
      <c r="O436" s="31"/>
      <c r="P436" s="32"/>
      <c r="Q436" s="6"/>
      <c r="R436" s="59"/>
      <c r="T436" s="182"/>
      <c r="U436" s="182"/>
      <c r="V436" s="1"/>
      <c r="W436" s="1"/>
      <c r="X436" s="1"/>
    </row>
    <row r="437" spans="3:24" ht="9.75" customHeight="1" x14ac:dyDescent="0.4">
      <c r="C437" s="17"/>
      <c r="D437" s="17" t="s">
        <v>369</v>
      </c>
      <c r="E437" s="17"/>
      <c r="F437" s="32"/>
      <c r="G437" s="6"/>
      <c r="H437" s="6"/>
      <c r="I437" s="6"/>
      <c r="J437" s="6"/>
      <c r="K437" s="6"/>
      <c r="L437" s="6"/>
      <c r="M437" s="6"/>
      <c r="N437" s="6"/>
      <c r="O437" s="31"/>
      <c r="P437" s="32"/>
      <c r="Q437" s="6"/>
      <c r="R437" s="59"/>
      <c r="T437" s="182"/>
      <c r="U437" s="182"/>
      <c r="V437" s="1"/>
      <c r="W437" s="1"/>
      <c r="X437" s="1"/>
    </row>
    <row r="438" spans="3:24" ht="9.75" customHeight="1" x14ac:dyDescent="0.4">
      <c r="C438" s="17"/>
      <c r="D438" s="17" t="s">
        <v>308</v>
      </c>
      <c r="E438" s="17"/>
      <c r="F438" s="32"/>
      <c r="G438" s="6"/>
      <c r="H438" s="6"/>
      <c r="I438" s="6"/>
      <c r="J438" s="6"/>
      <c r="K438" s="6"/>
      <c r="L438" s="6"/>
      <c r="M438" s="6"/>
      <c r="N438" s="6"/>
      <c r="O438" s="31"/>
      <c r="P438" s="32"/>
      <c r="Q438" s="6"/>
      <c r="R438" s="59"/>
      <c r="T438" s="182"/>
      <c r="U438" s="182"/>
      <c r="V438" s="1"/>
      <c r="W438" s="1"/>
      <c r="X438" s="1"/>
    </row>
    <row r="439" spans="3:24" ht="9.75" customHeight="1" x14ac:dyDescent="0.4">
      <c r="C439" s="17"/>
      <c r="D439" s="17" t="s">
        <v>504</v>
      </c>
      <c r="E439" s="17">
        <v>10</v>
      </c>
      <c r="F439" s="32">
        <v>9</v>
      </c>
      <c r="G439" s="6">
        <v>5</v>
      </c>
      <c r="H439" s="6">
        <v>7</v>
      </c>
      <c r="I439" s="6">
        <v>7</v>
      </c>
      <c r="J439" s="6">
        <v>7</v>
      </c>
      <c r="K439" s="6">
        <v>4</v>
      </c>
      <c r="L439" s="6">
        <v>7</v>
      </c>
      <c r="M439" s="6">
        <v>9</v>
      </c>
      <c r="N439" s="6">
        <v>10</v>
      </c>
      <c r="O439" s="31">
        <v>9</v>
      </c>
      <c r="P439" s="32">
        <f t="shared" ref="P439:P440" si="82">MIN(F439:O439)</f>
        <v>4</v>
      </c>
      <c r="Q439" s="6">
        <f t="shared" ref="Q439:Q440" si="83">E439-P439</f>
        <v>6</v>
      </c>
      <c r="R439" s="59">
        <f t="shared" ref="R439:R440" si="84">Q439/E439</f>
        <v>0.6</v>
      </c>
      <c r="T439" s="182"/>
      <c r="U439" s="182"/>
      <c r="V439" s="1"/>
      <c r="W439" s="1"/>
      <c r="X439" s="1"/>
    </row>
    <row r="440" spans="3:24" ht="9.75" customHeight="1" x14ac:dyDescent="0.4">
      <c r="C440" s="17"/>
      <c r="D440" s="17" t="s">
        <v>505</v>
      </c>
      <c r="E440" s="17">
        <v>2</v>
      </c>
      <c r="F440" s="32">
        <v>2</v>
      </c>
      <c r="G440" s="6">
        <v>1</v>
      </c>
      <c r="H440" s="6">
        <v>1</v>
      </c>
      <c r="I440" s="6">
        <v>1</v>
      </c>
      <c r="J440" s="6">
        <v>1</v>
      </c>
      <c r="K440" s="6">
        <v>1</v>
      </c>
      <c r="L440" s="6">
        <v>1</v>
      </c>
      <c r="M440" s="6">
        <v>1</v>
      </c>
      <c r="N440" s="6">
        <v>1</v>
      </c>
      <c r="O440" s="31">
        <v>1</v>
      </c>
      <c r="P440" s="32">
        <f t="shared" si="82"/>
        <v>1</v>
      </c>
      <c r="Q440" s="6">
        <f t="shared" si="83"/>
        <v>1</v>
      </c>
      <c r="R440" s="59">
        <f t="shared" si="84"/>
        <v>0.5</v>
      </c>
      <c r="T440" s="182"/>
      <c r="U440" s="182"/>
      <c r="V440" s="1"/>
      <c r="W440" s="1"/>
      <c r="X440" s="1"/>
    </row>
    <row r="441" spans="3:24" ht="9.75" customHeight="1" x14ac:dyDescent="0.4">
      <c r="C441" s="17"/>
      <c r="D441" s="17" t="s">
        <v>374</v>
      </c>
      <c r="E441" s="17"/>
      <c r="F441" s="32"/>
      <c r="G441" s="6"/>
      <c r="H441" s="6"/>
      <c r="I441" s="6"/>
      <c r="J441" s="6"/>
      <c r="K441" s="6"/>
      <c r="L441" s="6"/>
      <c r="M441" s="6"/>
      <c r="N441" s="6"/>
      <c r="O441" s="31"/>
      <c r="P441" s="32"/>
      <c r="Q441" s="6"/>
      <c r="R441" s="59"/>
      <c r="T441" s="182"/>
      <c r="U441" s="182"/>
      <c r="V441" s="1"/>
      <c r="W441" s="1"/>
      <c r="X441" s="1"/>
    </row>
    <row r="442" spans="3:24" ht="9.75" customHeight="1" x14ac:dyDescent="0.4">
      <c r="C442" s="17"/>
      <c r="D442" s="17" t="s">
        <v>374</v>
      </c>
      <c r="E442" s="17"/>
      <c r="F442" s="32"/>
      <c r="G442" s="6"/>
      <c r="H442" s="6"/>
      <c r="I442" s="6"/>
      <c r="J442" s="6"/>
      <c r="K442" s="6"/>
      <c r="L442" s="6"/>
      <c r="M442" s="6"/>
      <c r="N442" s="6"/>
      <c r="O442" s="31"/>
      <c r="P442" s="32"/>
      <c r="Q442" s="6"/>
      <c r="R442" s="59"/>
      <c r="T442" s="182"/>
      <c r="U442" s="182"/>
      <c r="V442" s="1"/>
      <c r="W442" s="1"/>
      <c r="X442" s="1"/>
    </row>
    <row r="443" spans="3:24" ht="9.75" customHeight="1" x14ac:dyDescent="0.4">
      <c r="C443" s="17"/>
      <c r="D443" s="17" t="s">
        <v>374</v>
      </c>
      <c r="E443" s="17"/>
      <c r="F443" s="32"/>
      <c r="G443" s="6"/>
      <c r="H443" s="6"/>
      <c r="I443" s="6"/>
      <c r="J443" s="6"/>
      <c r="K443" s="6"/>
      <c r="L443" s="6"/>
      <c r="M443" s="6"/>
      <c r="N443" s="6"/>
      <c r="O443" s="31"/>
      <c r="P443" s="32"/>
      <c r="Q443" s="6"/>
      <c r="R443" s="59"/>
      <c r="T443" s="182"/>
      <c r="U443" s="182"/>
      <c r="V443" s="1"/>
      <c r="W443" s="1"/>
      <c r="X443" s="1"/>
    </row>
    <row r="444" spans="3:24" ht="9.75" customHeight="1" x14ac:dyDescent="0.4">
      <c r="C444" s="17"/>
      <c r="D444" s="17" t="s">
        <v>374</v>
      </c>
      <c r="E444" s="17"/>
      <c r="F444" s="32"/>
      <c r="G444" s="6"/>
      <c r="H444" s="6"/>
      <c r="I444" s="6"/>
      <c r="J444" s="6"/>
      <c r="K444" s="6"/>
      <c r="L444" s="6"/>
      <c r="M444" s="6"/>
      <c r="N444" s="6"/>
      <c r="O444" s="31"/>
      <c r="P444" s="32"/>
      <c r="Q444" s="6"/>
      <c r="R444" s="59"/>
      <c r="T444" s="182"/>
      <c r="U444" s="182"/>
      <c r="V444" s="1"/>
      <c r="W444" s="1"/>
      <c r="X444" s="1"/>
    </row>
    <row r="445" spans="3:24" ht="9.75" customHeight="1" x14ac:dyDescent="0.4">
      <c r="C445" s="17"/>
      <c r="D445" s="17" t="s">
        <v>310</v>
      </c>
      <c r="E445" s="17">
        <v>9</v>
      </c>
      <c r="F445" s="32">
        <v>0</v>
      </c>
      <c r="G445" s="6">
        <v>0</v>
      </c>
      <c r="H445" s="6">
        <v>0</v>
      </c>
      <c r="I445" s="6">
        <v>0</v>
      </c>
      <c r="J445" s="6">
        <v>0</v>
      </c>
      <c r="K445" s="6">
        <v>1</v>
      </c>
      <c r="L445" s="6">
        <v>1</v>
      </c>
      <c r="M445" s="6">
        <v>4</v>
      </c>
      <c r="N445" s="6">
        <v>4</v>
      </c>
      <c r="O445" s="31">
        <v>6</v>
      </c>
      <c r="P445" s="32">
        <f>MIN(F445:O445)</f>
        <v>0</v>
      </c>
      <c r="Q445" s="6">
        <f>E445-P445</f>
        <v>9</v>
      </c>
      <c r="R445" s="59">
        <f>Q445/E445</f>
        <v>1</v>
      </c>
      <c r="T445" s="182"/>
      <c r="U445" s="182"/>
      <c r="V445" s="1"/>
      <c r="W445" s="1"/>
      <c r="X445" s="1"/>
    </row>
    <row r="446" spans="3:24" ht="9.75" customHeight="1" x14ac:dyDescent="0.4">
      <c r="C446" s="17"/>
      <c r="D446" s="17" t="s">
        <v>311</v>
      </c>
      <c r="E446" s="17"/>
      <c r="F446" s="32"/>
      <c r="G446" s="6"/>
      <c r="H446" s="6"/>
      <c r="I446" s="6"/>
      <c r="J446" s="6"/>
      <c r="K446" s="6"/>
      <c r="L446" s="6"/>
      <c r="M446" s="6"/>
      <c r="N446" s="6"/>
      <c r="O446" s="31"/>
      <c r="P446" s="32"/>
      <c r="Q446" s="6"/>
      <c r="R446" s="59"/>
      <c r="T446" s="182"/>
      <c r="U446" s="182"/>
      <c r="V446" s="1"/>
      <c r="W446" s="1"/>
      <c r="X446" s="1"/>
    </row>
    <row r="447" spans="3:24" ht="9.75" customHeight="1" x14ac:dyDescent="0.4">
      <c r="C447" s="17"/>
      <c r="D447" s="17" t="s">
        <v>312</v>
      </c>
      <c r="E447" s="17"/>
      <c r="F447" s="32"/>
      <c r="G447" s="6"/>
      <c r="H447" s="6"/>
      <c r="I447" s="6"/>
      <c r="J447" s="6"/>
      <c r="K447" s="6"/>
      <c r="L447" s="6"/>
      <c r="M447" s="6"/>
      <c r="N447" s="6"/>
      <c r="O447" s="31"/>
      <c r="P447" s="32"/>
      <c r="Q447" s="6"/>
      <c r="R447" s="59"/>
      <c r="T447" s="182"/>
      <c r="U447" s="182"/>
      <c r="V447" s="1"/>
      <c r="W447" s="1"/>
      <c r="X447" s="1"/>
    </row>
    <row r="448" spans="3:24" ht="9.75" customHeight="1" x14ac:dyDescent="0.4">
      <c r="C448" s="17"/>
      <c r="D448" s="17" t="s">
        <v>313</v>
      </c>
      <c r="E448" s="17"/>
      <c r="F448" s="32"/>
      <c r="G448" s="6"/>
      <c r="H448" s="6"/>
      <c r="I448" s="6"/>
      <c r="J448" s="6"/>
      <c r="K448" s="6"/>
      <c r="L448" s="6"/>
      <c r="M448" s="6"/>
      <c r="N448" s="6"/>
      <c r="O448" s="31"/>
      <c r="P448" s="32"/>
      <c r="Q448" s="6"/>
      <c r="R448" s="59"/>
      <c r="T448" s="182"/>
      <c r="U448" s="182"/>
      <c r="V448" s="1"/>
      <c r="W448" s="1"/>
      <c r="X448" s="1"/>
    </row>
    <row r="449" spans="2:24" ht="9.75" customHeight="1" x14ac:dyDescent="0.4">
      <c r="B449" s="219" t="s">
        <v>395</v>
      </c>
      <c r="C449" s="34"/>
      <c r="D449" s="104" t="s">
        <v>314</v>
      </c>
      <c r="E449" s="104">
        <f t="shared" ref="E449:O449" si="85">SUM(E433:E448)</f>
        <v>107</v>
      </c>
      <c r="F449" s="104">
        <f t="shared" si="85"/>
        <v>29</v>
      </c>
      <c r="G449" s="128">
        <f t="shared" si="85"/>
        <v>6</v>
      </c>
      <c r="H449" s="128">
        <f t="shared" si="85"/>
        <v>8</v>
      </c>
      <c r="I449" s="128">
        <f t="shared" si="85"/>
        <v>8</v>
      </c>
      <c r="J449" s="128">
        <f t="shared" si="85"/>
        <v>8</v>
      </c>
      <c r="K449" s="128">
        <f t="shared" si="85"/>
        <v>11</v>
      </c>
      <c r="L449" s="128">
        <f t="shared" si="85"/>
        <v>20</v>
      </c>
      <c r="M449" s="128">
        <f t="shared" si="85"/>
        <v>26</v>
      </c>
      <c r="N449" s="128">
        <f t="shared" si="85"/>
        <v>40</v>
      </c>
      <c r="O449" s="129">
        <f t="shared" si="85"/>
        <v>43</v>
      </c>
      <c r="P449" s="128">
        <f t="shared" ref="P449:P451" si="86">MIN(F449:O449)</f>
        <v>6</v>
      </c>
      <c r="Q449" s="128">
        <f t="shared" ref="Q449:Q451" si="87">E449-P449</f>
        <v>101</v>
      </c>
      <c r="R449" s="72">
        <f t="shared" ref="R449:R451" si="88">Q449/E449</f>
        <v>0.94392523364485981</v>
      </c>
      <c r="T449" s="182"/>
      <c r="U449" s="182"/>
      <c r="V449" s="1"/>
      <c r="W449" s="1"/>
      <c r="X449" s="1"/>
    </row>
    <row r="450" spans="2:24" ht="9.75" customHeight="1" x14ac:dyDescent="0.4">
      <c r="C450" s="15" t="s">
        <v>169</v>
      </c>
      <c r="D450" s="15" t="s">
        <v>300</v>
      </c>
      <c r="E450" s="17">
        <v>74</v>
      </c>
      <c r="F450" s="324">
        <f>52-11+6</f>
        <v>47</v>
      </c>
      <c r="G450" s="325">
        <f>E450-13-16</f>
        <v>45</v>
      </c>
      <c r="H450" s="325">
        <f>E450-14-16</f>
        <v>44</v>
      </c>
      <c r="I450" s="325">
        <f>E450-30</f>
        <v>44</v>
      </c>
      <c r="J450" s="325">
        <f>E450-14-17</f>
        <v>43</v>
      </c>
      <c r="K450" s="325">
        <f>E450-30</f>
        <v>44</v>
      </c>
      <c r="L450" s="325">
        <f>E450-17-23</f>
        <v>34</v>
      </c>
      <c r="M450" s="325">
        <f>E450-18-18</f>
        <v>38</v>
      </c>
      <c r="N450" s="325">
        <f>E450-30</f>
        <v>44</v>
      </c>
      <c r="O450" s="325">
        <v>48</v>
      </c>
      <c r="P450" s="324">
        <f t="shared" si="86"/>
        <v>34</v>
      </c>
      <c r="Q450" s="325">
        <f t="shared" si="87"/>
        <v>40</v>
      </c>
      <c r="R450" s="332">
        <f t="shared" si="88"/>
        <v>0.54054054054054057</v>
      </c>
      <c r="T450" s="182"/>
      <c r="U450" s="182"/>
      <c r="V450" s="1"/>
      <c r="W450" s="1"/>
      <c r="X450" s="1"/>
    </row>
    <row r="451" spans="2:24" ht="9.75" customHeight="1" x14ac:dyDescent="0.4">
      <c r="C451" s="17"/>
      <c r="D451" s="17" t="s">
        <v>301</v>
      </c>
      <c r="E451" s="17">
        <v>111</v>
      </c>
      <c r="F451" s="324">
        <v>0</v>
      </c>
      <c r="G451" s="325">
        <v>0</v>
      </c>
      <c r="H451" s="325">
        <v>0</v>
      </c>
      <c r="I451" s="325">
        <v>0</v>
      </c>
      <c r="J451" s="325">
        <v>1</v>
      </c>
      <c r="K451" s="325">
        <v>0</v>
      </c>
      <c r="L451" s="325">
        <v>0</v>
      </c>
      <c r="M451" s="325">
        <v>2</v>
      </c>
      <c r="N451" s="325">
        <v>8</v>
      </c>
      <c r="O451" s="326">
        <v>19</v>
      </c>
      <c r="P451" s="324">
        <f t="shared" si="86"/>
        <v>0</v>
      </c>
      <c r="Q451" s="325">
        <f t="shared" si="87"/>
        <v>111</v>
      </c>
      <c r="R451" s="332">
        <f t="shared" si="88"/>
        <v>1</v>
      </c>
      <c r="T451" s="182"/>
      <c r="U451" s="182"/>
      <c r="V451" s="1"/>
      <c r="W451" s="1"/>
      <c r="X451" s="1"/>
    </row>
    <row r="452" spans="2:24" ht="9.75" customHeight="1" x14ac:dyDescent="0.4">
      <c r="C452" s="17"/>
      <c r="D452" s="17" t="s">
        <v>303</v>
      </c>
      <c r="E452" s="17"/>
      <c r="F452" s="324"/>
      <c r="G452" s="325"/>
      <c r="H452" s="325"/>
      <c r="I452" s="325"/>
      <c r="J452" s="325"/>
      <c r="K452" s="325"/>
      <c r="L452" s="325"/>
      <c r="M452" s="325"/>
      <c r="N452" s="325"/>
      <c r="O452" s="326"/>
      <c r="P452" s="324"/>
      <c r="Q452" s="325"/>
      <c r="R452" s="332"/>
      <c r="T452" s="182"/>
      <c r="U452" s="182"/>
      <c r="V452" s="1"/>
      <c r="W452" s="1"/>
      <c r="X452" s="1"/>
    </row>
    <row r="453" spans="2:24" ht="9.75" customHeight="1" x14ac:dyDescent="0.4">
      <c r="C453" s="17"/>
      <c r="D453" s="17" t="s">
        <v>409</v>
      </c>
      <c r="E453" s="17">
        <v>50</v>
      </c>
      <c r="F453" s="324">
        <f>E453-34</f>
        <v>16</v>
      </c>
      <c r="G453" s="325">
        <f>E453-32</f>
        <v>18</v>
      </c>
      <c r="H453" s="325">
        <f>E453-37</f>
        <v>13</v>
      </c>
      <c r="I453" s="325">
        <f>E453-34</f>
        <v>16</v>
      </c>
      <c r="J453" s="325">
        <f>E453-32</f>
        <v>18</v>
      </c>
      <c r="K453" s="325">
        <f>E453-30</f>
        <v>20</v>
      </c>
      <c r="L453" s="325">
        <f>E453-39</f>
        <v>11</v>
      </c>
      <c r="M453" s="325">
        <f>E453-38</f>
        <v>12</v>
      </c>
      <c r="N453" s="325">
        <f>E453-26</f>
        <v>24</v>
      </c>
      <c r="O453" s="326">
        <f>E453-28</f>
        <v>22</v>
      </c>
      <c r="P453" s="324">
        <f>MIN(F453:O453)</f>
        <v>11</v>
      </c>
      <c r="Q453" s="325">
        <f>E453-P453</f>
        <v>39</v>
      </c>
      <c r="R453" s="332">
        <f>Q453/E453</f>
        <v>0.78</v>
      </c>
      <c r="T453" s="182"/>
      <c r="U453" s="182"/>
      <c r="V453" s="1"/>
      <c r="W453" s="1"/>
      <c r="X453" s="1"/>
    </row>
    <row r="454" spans="2:24" ht="9.75" customHeight="1" x14ac:dyDescent="0.4">
      <c r="C454" s="17"/>
      <c r="D454" s="17" t="s">
        <v>369</v>
      </c>
      <c r="E454" s="17"/>
      <c r="F454" s="324"/>
      <c r="G454" s="325"/>
      <c r="H454" s="325"/>
      <c r="I454" s="325"/>
      <c r="J454" s="325"/>
      <c r="K454" s="325"/>
      <c r="L454" s="325"/>
      <c r="M454" s="325"/>
      <c r="N454" s="325"/>
      <c r="O454" s="326"/>
      <c r="P454" s="324"/>
      <c r="Q454" s="325"/>
      <c r="R454" s="332"/>
      <c r="T454" s="182"/>
      <c r="U454" s="182"/>
      <c r="V454" s="1"/>
      <c r="W454" s="1"/>
      <c r="X454" s="1"/>
    </row>
    <row r="455" spans="2:24" ht="9.75" customHeight="1" x14ac:dyDescent="0.4">
      <c r="C455" s="17"/>
      <c r="D455" s="17" t="s">
        <v>308</v>
      </c>
      <c r="E455" s="17">
        <v>1</v>
      </c>
      <c r="F455" s="324">
        <v>0</v>
      </c>
      <c r="G455" s="325">
        <v>0</v>
      </c>
      <c r="H455" s="325">
        <v>0</v>
      </c>
      <c r="I455" s="325">
        <v>1</v>
      </c>
      <c r="J455" s="325">
        <v>1</v>
      </c>
      <c r="K455" s="325">
        <v>1</v>
      </c>
      <c r="L455" s="325">
        <v>1</v>
      </c>
      <c r="M455" s="325">
        <v>1</v>
      </c>
      <c r="N455" s="325">
        <v>1</v>
      </c>
      <c r="O455" s="326">
        <v>1</v>
      </c>
      <c r="P455" s="324">
        <f>MIN(F455:O455)</f>
        <v>0</v>
      </c>
      <c r="Q455" s="325">
        <f>E455-P455</f>
        <v>1</v>
      </c>
      <c r="R455" s="332">
        <f>Q455/E455</f>
        <v>1</v>
      </c>
      <c r="T455" s="182"/>
      <c r="U455" s="182"/>
      <c r="V455" s="1"/>
      <c r="W455" s="1"/>
      <c r="X455" s="1"/>
    </row>
    <row r="456" spans="2:24" ht="9.75" customHeight="1" x14ac:dyDescent="0.4">
      <c r="C456" s="17"/>
      <c r="D456" s="17" t="s">
        <v>374</v>
      </c>
      <c r="E456" s="17"/>
      <c r="F456" s="324"/>
      <c r="G456" s="325"/>
      <c r="H456" s="325"/>
      <c r="I456" s="325"/>
      <c r="J456" s="325"/>
      <c r="K456" s="325"/>
      <c r="L456" s="325"/>
      <c r="M456" s="325"/>
      <c r="N456" s="325"/>
      <c r="O456" s="326"/>
      <c r="P456" s="324"/>
      <c r="Q456" s="325"/>
      <c r="R456" s="332"/>
      <c r="T456" s="182"/>
      <c r="U456" s="182"/>
      <c r="V456" s="1"/>
      <c r="W456" s="1"/>
      <c r="X456" s="1"/>
    </row>
    <row r="457" spans="2:24" ht="9.75" customHeight="1" x14ac:dyDescent="0.4">
      <c r="C457" s="17"/>
      <c r="D457" s="17" t="s">
        <v>374</v>
      </c>
      <c r="E457" s="17"/>
      <c r="F457" s="324"/>
      <c r="G457" s="325"/>
      <c r="H457" s="325"/>
      <c r="I457" s="325"/>
      <c r="J457" s="325"/>
      <c r="K457" s="325"/>
      <c r="L457" s="325"/>
      <c r="M457" s="325"/>
      <c r="N457" s="325"/>
      <c r="O457" s="326"/>
      <c r="P457" s="324"/>
      <c r="Q457" s="325"/>
      <c r="R457" s="332"/>
      <c r="T457" s="182"/>
      <c r="U457" s="182"/>
      <c r="V457" s="1"/>
      <c r="W457" s="1"/>
      <c r="X457" s="1"/>
    </row>
    <row r="458" spans="2:24" ht="9.75" customHeight="1" x14ac:dyDescent="0.4">
      <c r="C458" s="17"/>
      <c r="D458" s="17" t="s">
        <v>374</v>
      </c>
      <c r="E458" s="17"/>
      <c r="F458" s="324"/>
      <c r="G458" s="325"/>
      <c r="H458" s="325"/>
      <c r="I458" s="325"/>
      <c r="J458" s="325"/>
      <c r="K458" s="325"/>
      <c r="L458" s="325"/>
      <c r="M458" s="325"/>
      <c r="N458" s="325"/>
      <c r="O458" s="326"/>
      <c r="P458" s="324"/>
      <c r="Q458" s="325"/>
      <c r="R458" s="332"/>
      <c r="T458" s="182"/>
      <c r="U458" s="182"/>
      <c r="V458" s="1"/>
      <c r="W458" s="1"/>
      <c r="X458" s="1"/>
    </row>
    <row r="459" spans="2:24" ht="9.75" customHeight="1" x14ac:dyDescent="0.4">
      <c r="C459" s="17"/>
      <c r="D459" s="17" t="s">
        <v>374</v>
      </c>
      <c r="E459" s="17"/>
      <c r="F459" s="324"/>
      <c r="G459" s="325"/>
      <c r="H459" s="325"/>
      <c r="I459" s="325"/>
      <c r="J459" s="325"/>
      <c r="K459" s="325"/>
      <c r="L459" s="325"/>
      <c r="M459" s="325"/>
      <c r="N459" s="325"/>
      <c r="O459" s="326"/>
      <c r="P459" s="324"/>
      <c r="Q459" s="325"/>
      <c r="R459" s="332"/>
      <c r="T459" s="182"/>
      <c r="U459" s="182"/>
      <c r="V459" s="1"/>
      <c r="W459" s="1"/>
      <c r="X459" s="1"/>
    </row>
    <row r="460" spans="2:24" ht="9.75" customHeight="1" x14ac:dyDescent="0.4">
      <c r="C460" s="17"/>
      <c r="D460" s="17" t="s">
        <v>374</v>
      </c>
      <c r="E460" s="17"/>
      <c r="F460" s="324"/>
      <c r="G460" s="325"/>
      <c r="H460" s="325"/>
      <c r="I460" s="325"/>
      <c r="J460" s="325"/>
      <c r="K460" s="325"/>
      <c r="L460" s="325"/>
      <c r="M460" s="325"/>
      <c r="N460" s="325"/>
      <c r="O460" s="326"/>
      <c r="P460" s="324"/>
      <c r="Q460" s="325"/>
      <c r="R460" s="332"/>
      <c r="T460" s="182"/>
      <c r="U460" s="182"/>
      <c r="V460" s="1"/>
      <c r="W460" s="1"/>
      <c r="X460" s="1"/>
    </row>
    <row r="461" spans="2:24" ht="9.75" customHeight="1" x14ac:dyDescent="0.4">
      <c r="C461" s="17"/>
      <c r="D461" s="17" t="s">
        <v>374</v>
      </c>
      <c r="E461" s="17"/>
      <c r="F461" s="324"/>
      <c r="G461" s="325"/>
      <c r="H461" s="325"/>
      <c r="I461" s="325"/>
      <c r="J461" s="325"/>
      <c r="K461" s="325"/>
      <c r="L461" s="325"/>
      <c r="M461" s="325"/>
      <c r="N461" s="325"/>
      <c r="O461" s="326"/>
      <c r="P461" s="324"/>
      <c r="Q461" s="325"/>
      <c r="R461" s="332"/>
      <c r="T461" s="182"/>
      <c r="U461" s="182"/>
      <c r="V461" s="1"/>
      <c r="W461" s="1"/>
      <c r="X461" s="1"/>
    </row>
    <row r="462" spans="2:24" ht="9.75" customHeight="1" x14ac:dyDescent="0.4">
      <c r="C462" s="17"/>
      <c r="D462" s="17" t="s">
        <v>310</v>
      </c>
      <c r="E462" s="17">
        <v>11</v>
      </c>
      <c r="F462" s="324">
        <v>0</v>
      </c>
      <c r="G462" s="325">
        <v>0</v>
      </c>
      <c r="H462" s="325">
        <v>3</v>
      </c>
      <c r="I462" s="325">
        <v>1</v>
      </c>
      <c r="J462" s="325">
        <v>2</v>
      </c>
      <c r="K462" s="325">
        <v>0</v>
      </c>
      <c r="L462" s="325">
        <v>0</v>
      </c>
      <c r="M462" s="325">
        <v>9</v>
      </c>
      <c r="N462" s="325">
        <v>1</v>
      </c>
      <c r="O462" s="326">
        <v>5</v>
      </c>
      <c r="P462" s="324">
        <f t="shared" ref="P462:P463" si="89">MIN(F462:O462)</f>
        <v>0</v>
      </c>
      <c r="Q462" s="325">
        <f t="shared" ref="Q462:Q463" si="90">E462-P462</f>
        <v>11</v>
      </c>
      <c r="R462" s="332">
        <f t="shared" ref="R462:R463" si="91">Q462/E462</f>
        <v>1</v>
      </c>
      <c r="T462" s="182"/>
      <c r="U462" s="182"/>
      <c r="V462" s="1"/>
      <c r="W462" s="1"/>
      <c r="X462" s="1"/>
    </row>
    <row r="463" spans="2:24" ht="9.75" customHeight="1" x14ac:dyDescent="0.4">
      <c r="C463" s="17"/>
      <c r="D463" s="17" t="s">
        <v>311</v>
      </c>
      <c r="E463" s="17">
        <v>1</v>
      </c>
      <c r="F463" s="324">
        <v>1</v>
      </c>
      <c r="G463" s="325">
        <v>1</v>
      </c>
      <c r="H463" s="325">
        <v>1</v>
      </c>
      <c r="I463" s="325">
        <v>1</v>
      </c>
      <c r="J463" s="325">
        <v>1</v>
      </c>
      <c r="K463" s="325">
        <v>1</v>
      </c>
      <c r="L463" s="325">
        <v>1</v>
      </c>
      <c r="M463" s="325">
        <v>1</v>
      </c>
      <c r="N463" s="325">
        <v>1</v>
      </c>
      <c r="O463" s="326">
        <v>1</v>
      </c>
      <c r="P463" s="324">
        <f t="shared" si="89"/>
        <v>1</v>
      </c>
      <c r="Q463" s="325">
        <f t="shared" si="90"/>
        <v>0</v>
      </c>
      <c r="R463" s="332">
        <f t="shared" si="91"/>
        <v>0</v>
      </c>
      <c r="T463" s="182"/>
      <c r="U463" s="182"/>
      <c r="V463" s="1"/>
      <c r="W463" s="1"/>
      <c r="X463" s="1"/>
    </row>
    <row r="464" spans="2:24" ht="9.75" customHeight="1" x14ac:dyDescent="0.4">
      <c r="C464" s="17"/>
      <c r="D464" s="17" t="s">
        <v>312</v>
      </c>
      <c r="E464" s="17"/>
      <c r="F464" s="324"/>
      <c r="G464" s="325"/>
      <c r="H464" s="325"/>
      <c r="I464" s="325"/>
      <c r="J464" s="325"/>
      <c r="K464" s="325"/>
      <c r="L464" s="325"/>
      <c r="M464" s="325"/>
      <c r="N464" s="325"/>
      <c r="O464" s="326"/>
      <c r="P464" s="324"/>
      <c r="Q464" s="325"/>
      <c r="R464" s="332"/>
      <c r="T464" s="182"/>
      <c r="U464" s="182"/>
      <c r="V464" s="1"/>
      <c r="W464" s="1"/>
      <c r="X464" s="1"/>
    </row>
    <row r="465" spans="2:24" ht="9.75" customHeight="1" x14ac:dyDescent="0.4">
      <c r="C465" s="17"/>
      <c r="D465" s="17" t="s">
        <v>313</v>
      </c>
      <c r="E465" s="17">
        <v>4</v>
      </c>
      <c r="F465" s="324">
        <v>2</v>
      </c>
      <c r="G465" s="325">
        <v>2</v>
      </c>
      <c r="H465" s="325">
        <v>0</v>
      </c>
      <c r="I465" s="325">
        <v>2</v>
      </c>
      <c r="J465" s="325">
        <v>2</v>
      </c>
      <c r="K465" s="325">
        <v>2</v>
      </c>
      <c r="L465" s="325">
        <v>2</v>
      </c>
      <c r="M465" s="325">
        <v>0</v>
      </c>
      <c r="N465" s="325">
        <v>1</v>
      </c>
      <c r="O465" s="326">
        <v>3</v>
      </c>
      <c r="P465" s="324">
        <f t="shared" ref="P465:P466" si="92">MIN(F465:O465)</f>
        <v>0</v>
      </c>
      <c r="Q465" s="325">
        <f t="shared" ref="Q465:Q466" si="93">E465-P465</f>
        <v>4</v>
      </c>
      <c r="R465" s="332">
        <f t="shared" ref="R465:R466" si="94">Q465/E465</f>
        <v>1</v>
      </c>
      <c r="T465" s="182"/>
      <c r="U465" s="182"/>
      <c r="V465" s="1"/>
      <c r="W465" s="1"/>
      <c r="X465" s="1"/>
    </row>
    <row r="466" spans="2:24" ht="9.75" customHeight="1" x14ac:dyDescent="0.4">
      <c r="B466" s="219" t="s">
        <v>395</v>
      </c>
      <c r="C466" s="34"/>
      <c r="D466" s="104" t="s">
        <v>314</v>
      </c>
      <c r="E466" s="104">
        <f t="shared" ref="E466:O466" si="95">SUM(E450:E465)</f>
        <v>252</v>
      </c>
      <c r="F466" s="104">
        <f t="shared" si="95"/>
        <v>66</v>
      </c>
      <c r="G466" s="128">
        <f t="shared" si="95"/>
        <v>66</v>
      </c>
      <c r="H466" s="128">
        <f t="shared" si="95"/>
        <v>61</v>
      </c>
      <c r="I466" s="128">
        <f t="shared" si="95"/>
        <v>65</v>
      </c>
      <c r="J466" s="128">
        <f t="shared" si="95"/>
        <v>68</v>
      </c>
      <c r="K466" s="128">
        <f t="shared" si="95"/>
        <v>68</v>
      </c>
      <c r="L466" s="128">
        <f t="shared" si="95"/>
        <v>49</v>
      </c>
      <c r="M466" s="128">
        <f t="shared" si="95"/>
        <v>63</v>
      </c>
      <c r="N466" s="128">
        <f t="shared" si="95"/>
        <v>80</v>
      </c>
      <c r="O466" s="129">
        <f t="shared" si="95"/>
        <v>99</v>
      </c>
      <c r="P466" s="128">
        <f t="shared" si="92"/>
        <v>49</v>
      </c>
      <c r="Q466" s="128">
        <f t="shared" si="93"/>
        <v>203</v>
      </c>
      <c r="R466" s="72">
        <f t="shared" si="94"/>
        <v>0.80555555555555558</v>
      </c>
      <c r="T466" s="182"/>
      <c r="U466" s="182"/>
      <c r="V466" s="1"/>
      <c r="W466" s="1"/>
      <c r="X466" s="1"/>
    </row>
    <row r="467" spans="2:24" ht="9.75" customHeight="1" x14ac:dyDescent="0.4">
      <c r="C467" s="15" t="s">
        <v>181</v>
      </c>
      <c r="D467" s="15" t="s">
        <v>300</v>
      </c>
      <c r="E467" s="17"/>
      <c r="F467" s="204"/>
      <c r="G467" s="205"/>
      <c r="H467" s="205"/>
      <c r="I467" s="205"/>
      <c r="J467" s="205"/>
      <c r="K467" s="205"/>
      <c r="L467" s="205"/>
      <c r="M467" s="205"/>
      <c r="N467" s="205"/>
      <c r="O467" s="206"/>
      <c r="P467" s="204"/>
      <c r="Q467" s="205"/>
      <c r="R467" s="207"/>
      <c r="T467" s="182"/>
      <c r="U467" s="182"/>
      <c r="V467" s="1"/>
      <c r="W467" s="1"/>
      <c r="X467" s="1"/>
    </row>
    <row r="468" spans="2:24" ht="9.75" customHeight="1" x14ac:dyDescent="0.4">
      <c r="C468" s="17"/>
      <c r="D468" s="17" t="s">
        <v>301</v>
      </c>
      <c r="E468" s="17"/>
      <c r="F468" s="204"/>
      <c r="G468" s="205"/>
      <c r="H468" s="205"/>
      <c r="I468" s="205"/>
      <c r="J468" s="205"/>
      <c r="K468" s="205"/>
      <c r="L468" s="205"/>
      <c r="M468" s="205"/>
      <c r="N468" s="205"/>
      <c r="O468" s="206"/>
      <c r="P468" s="204"/>
      <c r="Q468" s="205"/>
      <c r="R468" s="207"/>
      <c r="T468" s="182"/>
      <c r="U468" s="182"/>
      <c r="V468" s="1"/>
      <c r="W468" s="1"/>
      <c r="X468" s="1"/>
    </row>
    <row r="469" spans="2:24" ht="9.75" customHeight="1" x14ac:dyDescent="0.4">
      <c r="C469" s="17"/>
      <c r="D469" s="17" t="s">
        <v>303</v>
      </c>
      <c r="E469" s="17"/>
      <c r="F469" s="204"/>
      <c r="G469" s="205"/>
      <c r="H469" s="205"/>
      <c r="I469" s="205"/>
      <c r="J469" s="205"/>
      <c r="K469" s="205"/>
      <c r="L469" s="205"/>
      <c r="M469" s="205"/>
      <c r="N469" s="205"/>
      <c r="O469" s="206"/>
      <c r="P469" s="204"/>
      <c r="Q469" s="205"/>
      <c r="R469" s="207"/>
      <c r="T469" s="182"/>
      <c r="U469" s="182"/>
      <c r="V469" s="1"/>
      <c r="W469" s="1"/>
      <c r="X469" s="1"/>
    </row>
    <row r="470" spans="2:24" ht="9.75" customHeight="1" x14ac:dyDescent="0.4">
      <c r="C470" s="17"/>
      <c r="D470" s="17" t="s">
        <v>369</v>
      </c>
      <c r="E470" s="17"/>
      <c r="F470" s="204"/>
      <c r="G470" s="205"/>
      <c r="H470" s="205"/>
      <c r="I470" s="205"/>
      <c r="J470" s="205"/>
      <c r="K470" s="205"/>
      <c r="L470" s="205"/>
      <c r="M470" s="205"/>
      <c r="N470" s="205"/>
      <c r="O470" s="206"/>
      <c r="P470" s="204"/>
      <c r="Q470" s="205"/>
      <c r="R470" s="207"/>
      <c r="T470" s="182"/>
      <c r="U470" s="182"/>
      <c r="V470" s="1"/>
      <c r="W470" s="1"/>
      <c r="X470" s="1"/>
    </row>
    <row r="471" spans="2:24" ht="9.75" customHeight="1" x14ac:dyDescent="0.4">
      <c r="C471" s="17"/>
      <c r="D471" s="17" t="s">
        <v>369</v>
      </c>
      <c r="E471" s="17"/>
      <c r="F471" s="204"/>
      <c r="G471" s="205"/>
      <c r="H471" s="205"/>
      <c r="I471" s="205"/>
      <c r="J471" s="205"/>
      <c r="K471" s="205"/>
      <c r="L471" s="205"/>
      <c r="M471" s="205"/>
      <c r="N471" s="205"/>
      <c r="O471" s="206"/>
      <c r="P471" s="204"/>
      <c r="Q471" s="205"/>
      <c r="R471" s="207"/>
      <c r="T471" s="182"/>
      <c r="U471" s="182"/>
      <c r="V471" s="1"/>
      <c r="W471" s="1"/>
      <c r="X471" s="1"/>
    </row>
    <row r="472" spans="2:24" ht="9.75" customHeight="1" x14ac:dyDescent="0.4">
      <c r="C472" s="17"/>
      <c r="D472" s="17" t="s">
        <v>308</v>
      </c>
      <c r="E472" s="17"/>
      <c r="F472" s="204"/>
      <c r="G472" s="205"/>
      <c r="H472" s="205"/>
      <c r="I472" s="205"/>
      <c r="J472" s="205"/>
      <c r="K472" s="205"/>
      <c r="L472" s="205"/>
      <c r="M472" s="205"/>
      <c r="N472" s="205"/>
      <c r="O472" s="206"/>
      <c r="P472" s="204"/>
      <c r="Q472" s="205"/>
      <c r="R472" s="207"/>
      <c r="T472" s="182"/>
      <c r="U472" s="182"/>
      <c r="V472" s="1"/>
      <c r="W472" s="1"/>
      <c r="X472" s="1"/>
    </row>
    <row r="473" spans="2:24" ht="9.75" customHeight="1" x14ac:dyDescent="0.4">
      <c r="C473" s="17"/>
      <c r="D473" s="17" t="s">
        <v>374</v>
      </c>
      <c r="E473" s="17"/>
      <c r="F473" s="204"/>
      <c r="G473" s="205"/>
      <c r="H473" s="205"/>
      <c r="I473" s="205"/>
      <c r="J473" s="205"/>
      <c r="K473" s="205"/>
      <c r="L473" s="205"/>
      <c r="M473" s="205"/>
      <c r="N473" s="205"/>
      <c r="O473" s="206"/>
      <c r="P473" s="204"/>
      <c r="Q473" s="205"/>
      <c r="R473" s="207"/>
      <c r="T473" s="182"/>
      <c r="U473" s="182"/>
      <c r="V473" s="1"/>
      <c r="W473" s="1"/>
      <c r="X473" s="1"/>
    </row>
    <row r="474" spans="2:24" ht="9.75" customHeight="1" x14ac:dyDescent="0.4">
      <c r="C474" s="17"/>
      <c r="D474" s="17" t="s">
        <v>374</v>
      </c>
      <c r="E474" s="17"/>
      <c r="F474" s="204"/>
      <c r="G474" s="205"/>
      <c r="H474" s="205"/>
      <c r="I474" s="205"/>
      <c r="J474" s="205"/>
      <c r="K474" s="205"/>
      <c r="L474" s="205"/>
      <c r="M474" s="205"/>
      <c r="N474" s="205"/>
      <c r="O474" s="206"/>
      <c r="P474" s="204"/>
      <c r="Q474" s="205"/>
      <c r="R474" s="207"/>
      <c r="T474" s="182"/>
      <c r="U474" s="182"/>
      <c r="V474" s="1"/>
      <c r="W474" s="1"/>
      <c r="X474" s="1"/>
    </row>
    <row r="475" spans="2:24" ht="9.75" customHeight="1" x14ac:dyDescent="0.4">
      <c r="C475" s="17"/>
      <c r="D475" s="17" t="s">
        <v>374</v>
      </c>
      <c r="E475" s="17"/>
      <c r="F475" s="204"/>
      <c r="G475" s="205"/>
      <c r="H475" s="205"/>
      <c r="I475" s="205"/>
      <c r="J475" s="205"/>
      <c r="K475" s="205"/>
      <c r="L475" s="205"/>
      <c r="M475" s="205"/>
      <c r="N475" s="205"/>
      <c r="O475" s="206"/>
      <c r="P475" s="204"/>
      <c r="Q475" s="205"/>
      <c r="R475" s="207"/>
      <c r="T475" s="182"/>
      <c r="U475" s="182"/>
      <c r="V475" s="1"/>
      <c r="W475" s="1"/>
      <c r="X475" s="1"/>
    </row>
    <row r="476" spans="2:24" ht="9.75" customHeight="1" x14ac:dyDescent="0.4">
      <c r="C476" s="17"/>
      <c r="D476" s="17" t="s">
        <v>374</v>
      </c>
      <c r="E476" s="17"/>
      <c r="F476" s="204"/>
      <c r="G476" s="205"/>
      <c r="H476" s="205"/>
      <c r="I476" s="205"/>
      <c r="J476" s="205"/>
      <c r="K476" s="205"/>
      <c r="L476" s="205"/>
      <c r="M476" s="205"/>
      <c r="N476" s="205"/>
      <c r="O476" s="206"/>
      <c r="P476" s="204"/>
      <c r="Q476" s="205"/>
      <c r="R476" s="207"/>
      <c r="T476" s="182"/>
      <c r="U476" s="182"/>
      <c r="V476" s="1"/>
      <c r="W476" s="1"/>
      <c r="X476" s="1"/>
    </row>
    <row r="477" spans="2:24" ht="9.75" customHeight="1" x14ac:dyDescent="0.4">
      <c r="C477" s="17"/>
      <c r="D477" s="17" t="s">
        <v>374</v>
      </c>
      <c r="E477" s="17"/>
      <c r="F477" s="204"/>
      <c r="G477" s="205"/>
      <c r="H477" s="205"/>
      <c r="I477" s="205"/>
      <c r="J477" s="205"/>
      <c r="K477" s="205"/>
      <c r="L477" s="205"/>
      <c r="M477" s="205"/>
      <c r="N477" s="205"/>
      <c r="O477" s="206"/>
      <c r="P477" s="204"/>
      <c r="Q477" s="205"/>
      <c r="R477" s="207"/>
      <c r="T477" s="182"/>
      <c r="U477" s="182"/>
      <c r="V477" s="1"/>
      <c r="W477" s="1"/>
      <c r="X477" s="1"/>
    </row>
    <row r="478" spans="2:24" ht="9.75" customHeight="1" x14ac:dyDescent="0.4">
      <c r="C478" s="17"/>
      <c r="D478" s="17" t="s">
        <v>374</v>
      </c>
      <c r="E478" s="17"/>
      <c r="F478" s="204"/>
      <c r="G478" s="205"/>
      <c r="H478" s="205"/>
      <c r="I478" s="205"/>
      <c r="J478" s="205"/>
      <c r="K478" s="205"/>
      <c r="L478" s="205"/>
      <c r="M478" s="205"/>
      <c r="N478" s="205"/>
      <c r="O478" s="206"/>
      <c r="P478" s="204"/>
      <c r="Q478" s="205"/>
      <c r="R478" s="207"/>
      <c r="T478" s="182"/>
      <c r="U478" s="182"/>
      <c r="V478" s="1"/>
      <c r="W478" s="1"/>
      <c r="X478" s="1"/>
    </row>
    <row r="479" spans="2:24" ht="9.75" customHeight="1" x14ac:dyDescent="0.4">
      <c r="C479" s="17"/>
      <c r="D479" s="17" t="s">
        <v>310</v>
      </c>
      <c r="E479" s="17"/>
      <c r="F479" s="204"/>
      <c r="G479" s="205"/>
      <c r="H479" s="205"/>
      <c r="I479" s="205"/>
      <c r="J479" s="205"/>
      <c r="K479" s="205"/>
      <c r="L479" s="205"/>
      <c r="M479" s="205"/>
      <c r="N479" s="205"/>
      <c r="O479" s="206"/>
      <c r="P479" s="204"/>
      <c r="Q479" s="205"/>
      <c r="R479" s="207"/>
      <c r="T479" s="182"/>
      <c r="U479" s="182"/>
      <c r="V479" s="1"/>
      <c r="W479" s="1"/>
      <c r="X479" s="1"/>
    </row>
    <row r="480" spans="2:24" ht="9.75" customHeight="1" x14ac:dyDescent="0.4">
      <c r="C480" s="17"/>
      <c r="D480" s="17" t="s">
        <v>311</v>
      </c>
      <c r="E480" s="17">
        <v>3</v>
      </c>
      <c r="F480" s="204">
        <v>1</v>
      </c>
      <c r="G480" s="205">
        <v>2</v>
      </c>
      <c r="H480" s="205">
        <v>0</v>
      </c>
      <c r="I480" s="205">
        <v>0</v>
      </c>
      <c r="J480" s="205">
        <v>2</v>
      </c>
      <c r="K480" s="205">
        <v>0</v>
      </c>
      <c r="L480" s="205">
        <v>3</v>
      </c>
      <c r="M480" s="205">
        <v>3</v>
      </c>
      <c r="N480" s="205">
        <v>3</v>
      </c>
      <c r="O480" s="206">
        <v>3</v>
      </c>
      <c r="P480" s="204">
        <f>MIN(F480:O480)</f>
        <v>0</v>
      </c>
      <c r="Q480" s="205">
        <f>E480-P480</f>
        <v>3</v>
      </c>
      <c r="R480" s="207">
        <f>Q480/E480</f>
        <v>1</v>
      </c>
      <c r="T480" s="182"/>
      <c r="U480" s="182"/>
      <c r="V480" s="1"/>
      <c r="W480" s="1"/>
      <c r="X480" s="1"/>
    </row>
    <row r="481" spans="2:24" ht="9.75" customHeight="1" x14ac:dyDescent="0.4">
      <c r="C481" s="17"/>
      <c r="D481" s="17" t="s">
        <v>312</v>
      </c>
      <c r="E481" s="17"/>
      <c r="F481" s="204"/>
      <c r="G481" s="205"/>
      <c r="H481" s="205"/>
      <c r="I481" s="205"/>
      <c r="J481" s="205"/>
      <c r="K481" s="205"/>
      <c r="L481" s="205"/>
      <c r="M481" s="205"/>
      <c r="N481" s="205"/>
      <c r="O481" s="206"/>
      <c r="P481" s="204"/>
      <c r="Q481" s="205"/>
      <c r="R481" s="207"/>
      <c r="T481" s="182"/>
      <c r="U481" s="182"/>
      <c r="V481" s="1"/>
      <c r="W481" s="1"/>
      <c r="X481" s="1"/>
    </row>
    <row r="482" spans="2:24" ht="9.75" customHeight="1" x14ac:dyDescent="0.4">
      <c r="C482" s="17"/>
      <c r="D482" s="17" t="s">
        <v>313</v>
      </c>
      <c r="E482" s="17"/>
      <c r="F482" s="204"/>
      <c r="G482" s="205"/>
      <c r="H482" s="205"/>
      <c r="I482" s="205"/>
      <c r="J482" s="205"/>
      <c r="K482" s="205"/>
      <c r="L482" s="205"/>
      <c r="M482" s="205"/>
      <c r="N482" s="205"/>
      <c r="O482" s="206"/>
      <c r="P482" s="204"/>
      <c r="Q482" s="205"/>
      <c r="R482" s="207"/>
      <c r="T482" s="182"/>
      <c r="U482" s="182"/>
      <c r="V482" s="1"/>
      <c r="W482" s="1"/>
      <c r="X482" s="1"/>
    </row>
    <row r="483" spans="2:24" ht="9.75" customHeight="1" x14ac:dyDescent="0.4">
      <c r="B483" s="219" t="s">
        <v>395</v>
      </c>
      <c r="C483" s="34"/>
      <c r="D483" s="104" t="s">
        <v>314</v>
      </c>
      <c r="E483" s="104">
        <f t="shared" ref="E483:O483" si="96">SUM(E467:E482)</f>
        <v>3</v>
      </c>
      <c r="F483" s="104">
        <f t="shared" si="96"/>
        <v>1</v>
      </c>
      <c r="G483" s="128">
        <f t="shared" si="96"/>
        <v>2</v>
      </c>
      <c r="H483" s="128">
        <f t="shared" si="96"/>
        <v>0</v>
      </c>
      <c r="I483" s="128">
        <f t="shared" si="96"/>
        <v>0</v>
      </c>
      <c r="J483" s="128">
        <f t="shared" si="96"/>
        <v>2</v>
      </c>
      <c r="K483" s="128">
        <f t="shared" si="96"/>
        <v>0</v>
      </c>
      <c r="L483" s="128">
        <f t="shared" si="96"/>
        <v>3</v>
      </c>
      <c r="M483" s="128">
        <f t="shared" si="96"/>
        <v>3</v>
      </c>
      <c r="N483" s="128">
        <f t="shared" si="96"/>
        <v>3</v>
      </c>
      <c r="O483" s="129">
        <f t="shared" si="96"/>
        <v>3</v>
      </c>
      <c r="P483" s="128">
        <f>MIN(F483:O483)</f>
        <v>0</v>
      </c>
      <c r="Q483" s="128">
        <f>E483-P483</f>
        <v>3</v>
      </c>
      <c r="R483" s="72">
        <f>Q483/E483</f>
        <v>1</v>
      </c>
      <c r="T483" s="182"/>
      <c r="U483" s="182"/>
      <c r="V483" s="1"/>
      <c r="W483" s="1"/>
      <c r="X483" s="1"/>
    </row>
    <row r="484" spans="2:24" ht="9.75" customHeight="1" x14ac:dyDescent="0.4">
      <c r="C484" s="17" t="s">
        <v>191</v>
      </c>
      <c r="D484" s="15" t="s">
        <v>300</v>
      </c>
      <c r="E484" s="17"/>
      <c r="F484" s="204"/>
      <c r="G484" s="205"/>
      <c r="H484" s="205"/>
      <c r="I484" s="205"/>
      <c r="J484" s="205"/>
      <c r="K484" s="205"/>
      <c r="L484" s="205"/>
      <c r="M484" s="205"/>
      <c r="N484" s="205"/>
      <c r="O484" s="206"/>
      <c r="P484" s="204"/>
      <c r="Q484" s="205"/>
      <c r="R484" s="207"/>
      <c r="T484" s="182"/>
      <c r="U484" s="182"/>
      <c r="V484" s="1"/>
      <c r="W484" s="1"/>
      <c r="X484" s="1"/>
    </row>
    <row r="485" spans="2:24" ht="9.75" customHeight="1" x14ac:dyDescent="0.4">
      <c r="C485" s="17"/>
      <c r="D485" s="17" t="s">
        <v>301</v>
      </c>
      <c r="E485" s="17"/>
      <c r="F485" s="204"/>
      <c r="G485" s="205"/>
      <c r="H485" s="205"/>
      <c r="I485" s="205"/>
      <c r="J485" s="205"/>
      <c r="K485" s="205"/>
      <c r="L485" s="205"/>
      <c r="M485" s="205"/>
      <c r="N485" s="205"/>
      <c r="O485" s="206"/>
      <c r="P485" s="204"/>
      <c r="Q485" s="205"/>
      <c r="R485" s="207"/>
      <c r="T485" s="182"/>
      <c r="U485" s="182"/>
      <c r="V485" s="1"/>
      <c r="W485" s="1"/>
      <c r="X485" s="1"/>
    </row>
    <row r="486" spans="2:24" ht="9.75" customHeight="1" x14ac:dyDescent="0.4">
      <c r="C486" s="17"/>
      <c r="D486" s="17" t="s">
        <v>303</v>
      </c>
      <c r="E486" s="17"/>
      <c r="F486" s="204"/>
      <c r="G486" s="205"/>
      <c r="H486" s="205"/>
      <c r="I486" s="205"/>
      <c r="J486" s="205"/>
      <c r="K486" s="205"/>
      <c r="L486" s="205"/>
      <c r="M486" s="205"/>
      <c r="N486" s="205"/>
      <c r="O486" s="206"/>
      <c r="P486" s="204"/>
      <c r="Q486" s="205"/>
      <c r="R486" s="207"/>
      <c r="T486" s="182"/>
      <c r="U486" s="182"/>
      <c r="V486" s="1"/>
      <c r="W486" s="1"/>
      <c r="X486" s="1"/>
    </row>
    <row r="487" spans="2:24" ht="9.75" customHeight="1" x14ac:dyDescent="0.4">
      <c r="C487" s="17"/>
      <c r="D487" s="17" t="s">
        <v>369</v>
      </c>
      <c r="E487" s="17"/>
      <c r="F487" s="204"/>
      <c r="G487" s="205"/>
      <c r="H487" s="205"/>
      <c r="I487" s="205"/>
      <c r="J487" s="205"/>
      <c r="K487" s="205"/>
      <c r="L487" s="205"/>
      <c r="M487" s="205"/>
      <c r="N487" s="205"/>
      <c r="O487" s="206"/>
      <c r="P487" s="204"/>
      <c r="Q487" s="205"/>
      <c r="R487" s="207"/>
      <c r="T487" s="182"/>
      <c r="U487" s="182"/>
      <c r="V487" s="1"/>
      <c r="W487" s="1"/>
      <c r="X487" s="1"/>
    </row>
    <row r="488" spans="2:24" ht="9.75" customHeight="1" x14ac:dyDescent="0.4">
      <c r="C488" s="17"/>
      <c r="D488" s="17" t="s">
        <v>369</v>
      </c>
      <c r="E488" s="17"/>
      <c r="F488" s="204"/>
      <c r="G488" s="205"/>
      <c r="H488" s="205"/>
      <c r="I488" s="205"/>
      <c r="J488" s="205"/>
      <c r="K488" s="205"/>
      <c r="L488" s="205"/>
      <c r="M488" s="205"/>
      <c r="N488" s="205"/>
      <c r="O488" s="206"/>
      <c r="P488" s="204"/>
      <c r="Q488" s="205"/>
      <c r="R488" s="207"/>
      <c r="T488" s="182"/>
      <c r="U488" s="182"/>
      <c r="V488" s="1"/>
      <c r="W488" s="1"/>
      <c r="X488" s="1"/>
    </row>
    <row r="489" spans="2:24" ht="9.75" customHeight="1" x14ac:dyDescent="0.4">
      <c r="C489" s="17"/>
      <c r="D489" s="17" t="s">
        <v>308</v>
      </c>
      <c r="E489" s="17"/>
      <c r="F489" s="204"/>
      <c r="G489" s="205"/>
      <c r="H489" s="205"/>
      <c r="I489" s="205"/>
      <c r="J489" s="205"/>
      <c r="K489" s="205"/>
      <c r="L489" s="205"/>
      <c r="M489" s="205"/>
      <c r="N489" s="205"/>
      <c r="O489" s="206"/>
      <c r="P489" s="204"/>
      <c r="Q489" s="205"/>
      <c r="R489" s="207"/>
      <c r="T489" s="182"/>
      <c r="U489" s="182"/>
      <c r="V489" s="1"/>
      <c r="W489" s="1"/>
      <c r="X489" s="1"/>
    </row>
    <row r="490" spans="2:24" ht="9.75" customHeight="1" x14ac:dyDescent="0.4">
      <c r="C490" s="17"/>
      <c r="D490" s="17" t="s">
        <v>374</v>
      </c>
      <c r="E490" s="17"/>
      <c r="F490" s="204"/>
      <c r="G490" s="205"/>
      <c r="H490" s="205"/>
      <c r="I490" s="205"/>
      <c r="J490" s="205"/>
      <c r="K490" s="205"/>
      <c r="L490" s="205"/>
      <c r="M490" s="205"/>
      <c r="N490" s="205"/>
      <c r="O490" s="206"/>
      <c r="P490" s="204"/>
      <c r="Q490" s="205"/>
      <c r="R490" s="207"/>
      <c r="T490" s="182"/>
      <c r="U490" s="182"/>
      <c r="V490" s="1"/>
      <c r="W490" s="1"/>
      <c r="X490" s="1"/>
    </row>
    <row r="491" spans="2:24" ht="9.75" customHeight="1" x14ac:dyDescent="0.4">
      <c r="C491" s="17"/>
      <c r="D491" s="17" t="s">
        <v>374</v>
      </c>
      <c r="E491" s="17"/>
      <c r="F491" s="204"/>
      <c r="G491" s="205"/>
      <c r="H491" s="205"/>
      <c r="I491" s="205"/>
      <c r="J491" s="205"/>
      <c r="K491" s="205"/>
      <c r="L491" s="205"/>
      <c r="M491" s="205"/>
      <c r="N491" s="205"/>
      <c r="O491" s="206"/>
      <c r="P491" s="204"/>
      <c r="Q491" s="205"/>
      <c r="R491" s="207"/>
      <c r="T491" s="182"/>
      <c r="U491" s="182"/>
      <c r="V491" s="1"/>
      <c r="W491" s="1"/>
      <c r="X491" s="1"/>
    </row>
    <row r="492" spans="2:24" ht="9.75" customHeight="1" x14ac:dyDescent="0.4">
      <c r="C492" s="17"/>
      <c r="D492" s="17" t="s">
        <v>374</v>
      </c>
      <c r="E492" s="17"/>
      <c r="F492" s="204"/>
      <c r="G492" s="205"/>
      <c r="H492" s="205"/>
      <c r="I492" s="205"/>
      <c r="J492" s="205"/>
      <c r="K492" s="205"/>
      <c r="L492" s="205"/>
      <c r="M492" s="205"/>
      <c r="N492" s="205"/>
      <c r="O492" s="206"/>
      <c r="P492" s="204"/>
      <c r="Q492" s="205"/>
      <c r="R492" s="207"/>
      <c r="T492" s="182"/>
      <c r="U492" s="182"/>
      <c r="V492" s="1"/>
      <c r="W492" s="1"/>
      <c r="X492" s="1"/>
    </row>
    <row r="493" spans="2:24" ht="9.75" customHeight="1" x14ac:dyDescent="0.4">
      <c r="C493" s="17"/>
      <c r="D493" s="17" t="s">
        <v>374</v>
      </c>
      <c r="E493" s="17"/>
      <c r="F493" s="204"/>
      <c r="G493" s="205"/>
      <c r="H493" s="205"/>
      <c r="I493" s="205"/>
      <c r="J493" s="205"/>
      <c r="K493" s="205"/>
      <c r="L493" s="205"/>
      <c r="M493" s="205"/>
      <c r="N493" s="205"/>
      <c r="O493" s="206"/>
      <c r="P493" s="204"/>
      <c r="Q493" s="205"/>
      <c r="R493" s="207"/>
      <c r="T493" s="182"/>
      <c r="U493" s="182"/>
      <c r="V493" s="1"/>
      <c r="W493" s="1"/>
      <c r="X493" s="1"/>
    </row>
    <row r="494" spans="2:24" ht="9.75" customHeight="1" x14ac:dyDescent="0.4">
      <c r="C494" s="17"/>
      <c r="D494" s="17" t="s">
        <v>374</v>
      </c>
      <c r="E494" s="17"/>
      <c r="F494" s="204"/>
      <c r="G494" s="205"/>
      <c r="H494" s="205"/>
      <c r="I494" s="205"/>
      <c r="J494" s="205"/>
      <c r="K494" s="205"/>
      <c r="L494" s="205"/>
      <c r="M494" s="205"/>
      <c r="N494" s="205"/>
      <c r="O494" s="206"/>
      <c r="P494" s="204"/>
      <c r="Q494" s="205"/>
      <c r="R494" s="207"/>
      <c r="T494" s="182"/>
      <c r="U494" s="182"/>
      <c r="V494" s="1"/>
      <c r="W494" s="1"/>
      <c r="X494" s="1"/>
    </row>
    <row r="495" spans="2:24" ht="9.75" customHeight="1" x14ac:dyDescent="0.4">
      <c r="C495" s="17"/>
      <c r="D495" s="17" t="s">
        <v>374</v>
      </c>
      <c r="E495" s="17"/>
      <c r="F495" s="204"/>
      <c r="G495" s="205"/>
      <c r="H495" s="205"/>
      <c r="I495" s="205"/>
      <c r="J495" s="205"/>
      <c r="K495" s="205"/>
      <c r="L495" s="205"/>
      <c r="M495" s="205"/>
      <c r="N495" s="205"/>
      <c r="O495" s="206"/>
      <c r="P495" s="204"/>
      <c r="Q495" s="205"/>
      <c r="R495" s="207"/>
      <c r="T495" s="182"/>
      <c r="U495" s="182"/>
      <c r="V495" s="1"/>
      <c r="W495" s="1"/>
      <c r="X495" s="1"/>
    </row>
    <row r="496" spans="2:24" ht="9.75" customHeight="1" x14ac:dyDescent="0.4">
      <c r="C496" s="17"/>
      <c r="D496" s="17" t="s">
        <v>310</v>
      </c>
      <c r="E496" s="17"/>
      <c r="F496" s="204"/>
      <c r="G496" s="205"/>
      <c r="H496" s="205"/>
      <c r="I496" s="205"/>
      <c r="J496" s="205"/>
      <c r="K496" s="205"/>
      <c r="L496" s="205"/>
      <c r="M496" s="205"/>
      <c r="N496" s="205"/>
      <c r="O496" s="206"/>
      <c r="P496" s="204"/>
      <c r="Q496" s="205"/>
      <c r="R496" s="207"/>
      <c r="T496" s="182"/>
      <c r="U496" s="182"/>
      <c r="V496" s="1"/>
      <c r="W496" s="1"/>
      <c r="X496" s="1"/>
    </row>
    <row r="497" spans="2:24" ht="9.75" customHeight="1" x14ac:dyDescent="0.4">
      <c r="C497" s="17"/>
      <c r="D497" s="17" t="s">
        <v>311</v>
      </c>
      <c r="E497" s="17"/>
      <c r="F497" s="204"/>
      <c r="G497" s="205"/>
      <c r="H497" s="205"/>
      <c r="I497" s="205"/>
      <c r="J497" s="205"/>
      <c r="K497" s="205"/>
      <c r="L497" s="205"/>
      <c r="M497" s="205"/>
      <c r="N497" s="205"/>
      <c r="O497" s="206"/>
      <c r="P497" s="204"/>
      <c r="Q497" s="205"/>
      <c r="R497" s="207"/>
      <c r="T497" s="182"/>
      <c r="U497" s="182"/>
      <c r="V497" s="1"/>
      <c r="W497" s="1"/>
      <c r="X497" s="1"/>
    </row>
    <row r="498" spans="2:24" ht="9.75" customHeight="1" x14ac:dyDescent="0.4">
      <c r="C498" s="17"/>
      <c r="D498" s="17" t="s">
        <v>312</v>
      </c>
      <c r="E498" s="17">
        <v>3</v>
      </c>
      <c r="F498" s="204">
        <v>0</v>
      </c>
      <c r="G498" s="205">
        <v>0</v>
      </c>
      <c r="H498" s="205">
        <v>0</v>
      </c>
      <c r="I498" s="205">
        <v>1</v>
      </c>
      <c r="J498" s="205">
        <v>1</v>
      </c>
      <c r="K498" s="205">
        <v>1</v>
      </c>
      <c r="L498" s="205">
        <v>1</v>
      </c>
      <c r="M498" s="205">
        <v>0</v>
      </c>
      <c r="N498" s="205">
        <v>0</v>
      </c>
      <c r="O498" s="206">
        <v>0</v>
      </c>
      <c r="P498" s="204">
        <f t="shared" ref="P498:P500" si="97">MIN(F498:O498)</f>
        <v>0</v>
      </c>
      <c r="Q498" s="205">
        <f t="shared" ref="Q498:Q500" si="98">E498-P498</f>
        <v>3</v>
      </c>
      <c r="R498" s="207">
        <f t="shared" ref="R498:R500" si="99">Q498/E498</f>
        <v>1</v>
      </c>
      <c r="T498" s="182"/>
      <c r="U498" s="182"/>
      <c r="V498" s="1"/>
      <c r="W498" s="1"/>
      <c r="X498" s="1"/>
    </row>
    <row r="499" spans="2:24" ht="9.75" customHeight="1" x14ac:dyDescent="0.4">
      <c r="C499" s="17"/>
      <c r="D499" s="17" t="s">
        <v>313</v>
      </c>
      <c r="E499" s="17">
        <v>1</v>
      </c>
      <c r="F499" s="204">
        <v>0</v>
      </c>
      <c r="G499" s="205">
        <v>0</v>
      </c>
      <c r="H499" s="205">
        <v>1</v>
      </c>
      <c r="I499" s="205">
        <v>0</v>
      </c>
      <c r="J499" s="205">
        <v>0</v>
      </c>
      <c r="K499" s="205">
        <v>0</v>
      </c>
      <c r="L499" s="205">
        <v>1</v>
      </c>
      <c r="M499" s="205">
        <v>1</v>
      </c>
      <c r="N499" s="205">
        <v>0</v>
      </c>
      <c r="O499" s="206">
        <v>0</v>
      </c>
      <c r="P499" s="204">
        <f t="shared" si="97"/>
        <v>0</v>
      </c>
      <c r="Q499" s="205">
        <f t="shared" si="98"/>
        <v>1</v>
      </c>
      <c r="R499" s="207">
        <f t="shared" si="99"/>
        <v>1</v>
      </c>
      <c r="T499" s="182"/>
      <c r="U499" s="182"/>
      <c r="V499" s="1"/>
      <c r="W499" s="1"/>
      <c r="X499" s="1"/>
    </row>
    <row r="500" spans="2:24" ht="9.75" customHeight="1" x14ac:dyDescent="0.4">
      <c r="B500" s="219" t="s">
        <v>395</v>
      </c>
      <c r="C500" s="17"/>
      <c r="D500" s="104" t="s">
        <v>314</v>
      </c>
      <c r="E500" s="104">
        <f t="shared" ref="E500:O500" si="100">SUM(E484:E499)</f>
        <v>4</v>
      </c>
      <c r="F500" s="104">
        <f t="shared" si="100"/>
        <v>0</v>
      </c>
      <c r="G500" s="128">
        <f t="shared" si="100"/>
        <v>0</v>
      </c>
      <c r="H500" s="128">
        <f t="shared" si="100"/>
        <v>1</v>
      </c>
      <c r="I500" s="128">
        <f t="shared" si="100"/>
        <v>1</v>
      </c>
      <c r="J500" s="128">
        <f t="shared" si="100"/>
        <v>1</v>
      </c>
      <c r="K500" s="128">
        <f t="shared" si="100"/>
        <v>1</v>
      </c>
      <c r="L500" s="128">
        <f t="shared" si="100"/>
        <v>2</v>
      </c>
      <c r="M500" s="128">
        <f t="shared" si="100"/>
        <v>1</v>
      </c>
      <c r="N500" s="128">
        <f t="shared" si="100"/>
        <v>0</v>
      </c>
      <c r="O500" s="129">
        <f t="shared" si="100"/>
        <v>0</v>
      </c>
      <c r="P500" s="128">
        <f t="shared" si="97"/>
        <v>0</v>
      </c>
      <c r="Q500" s="128">
        <f t="shared" si="98"/>
        <v>4</v>
      </c>
      <c r="R500" s="72">
        <f t="shared" si="99"/>
        <v>1</v>
      </c>
      <c r="T500" s="182"/>
      <c r="U500" s="182"/>
      <c r="V500" s="1"/>
      <c r="W500" s="1"/>
      <c r="X500" s="1"/>
    </row>
    <row r="501" spans="2:24" ht="9.75" customHeight="1" x14ac:dyDescent="0.4">
      <c r="C501" s="386" t="s">
        <v>506</v>
      </c>
      <c r="D501" s="386" t="s">
        <v>300</v>
      </c>
      <c r="E501" s="387"/>
      <c r="F501" s="388"/>
      <c r="G501" s="389"/>
      <c r="H501" s="389"/>
      <c r="I501" s="389"/>
      <c r="J501" s="389"/>
      <c r="K501" s="389"/>
      <c r="L501" s="389"/>
      <c r="M501" s="389"/>
      <c r="N501" s="389"/>
      <c r="O501" s="390"/>
      <c r="P501" s="391"/>
      <c r="Q501" s="392"/>
      <c r="R501" s="393"/>
      <c r="T501" s="182"/>
      <c r="U501" s="182"/>
      <c r="V501" s="1"/>
      <c r="W501" s="1"/>
      <c r="X501" s="1"/>
    </row>
    <row r="502" spans="2:24" ht="9.75" customHeight="1" x14ac:dyDescent="0.4">
      <c r="C502" s="387"/>
      <c r="D502" s="387" t="s">
        <v>301</v>
      </c>
      <c r="E502" s="387"/>
      <c r="F502" s="388"/>
      <c r="G502" s="389"/>
      <c r="H502" s="389"/>
      <c r="I502" s="389"/>
      <c r="J502" s="389"/>
      <c r="K502" s="389"/>
      <c r="L502" s="389"/>
      <c r="M502" s="389"/>
      <c r="N502" s="389"/>
      <c r="O502" s="390"/>
      <c r="P502" s="388"/>
      <c r="Q502" s="389"/>
      <c r="R502" s="394"/>
      <c r="T502" s="182"/>
      <c r="U502" s="182"/>
      <c r="V502" s="1"/>
      <c r="W502" s="1"/>
      <c r="X502" s="1"/>
    </row>
    <row r="503" spans="2:24" ht="9.75" customHeight="1" x14ac:dyDescent="0.4">
      <c r="C503" s="395" t="s">
        <v>330</v>
      </c>
      <c r="D503" s="387" t="s">
        <v>507</v>
      </c>
      <c r="E503" s="387"/>
      <c r="F503" s="396"/>
      <c r="G503" s="397"/>
      <c r="H503" s="397"/>
      <c r="I503" s="397"/>
      <c r="J503" s="397"/>
      <c r="K503" s="389"/>
      <c r="L503" s="389"/>
      <c r="M503" s="389"/>
      <c r="N503" s="389"/>
      <c r="O503" s="390"/>
      <c r="P503" s="388"/>
      <c r="Q503" s="389"/>
      <c r="R503" s="394"/>
      <c r="T503" s="182"/>
      <c r="U503" s="182"/>
      <c r="V503" s="1"/>
      <c r="W503" s="1"/>
      <c r="X503" s="1"/>
    </row>
    <row r="504" spans="2:24" ht="9.75" customHeight="1" x14ac:dyDescent="0.4">
      <c r="C504" s="395" t="s">
        <v>508</v>
      </c>
      <c r="D504" s="387" t="s">
        <v>369</v>
      </c>
      <c r="E504" s="387"/>
      <c r="F504" s="388"/>
      <c r="G504" s="389"/>
      <c r="H504" s="389"/>
      <c r="I504" s="389"/>
      <c r="J504" s="389"/>
      <c r="K504" s="389"/>
      <c r="L504" s="389"/>
      <c r="M504" s="389"/>
      <c r="N504" s="389"/>
      <c r="O504" s="390"/>
      <c r="P504" s="388"/>
      <c r="Q504" s="389"/>
      <c r="R504" s="394"/>
      <c r="T504" s="182"/>
      <c r="U504" s="182"/>
      <c r="V504" s="1"/>
      <c r="W504" s="1"/>
      <c r="X504" s="1"/>
    </row>
    <row r="505" spans="2:24" ht="9.75" customHeight="1" x14ac:dyDescent="0.4">
      <c r="C505" s="395" t="s">
        <v>509</v>
      </c>
      <c r="D505" s="387" t="s">
        <v>369</v>
      </c>
      <c r="E505" s="387"/>
      <c r="F505" s="388"/>
      <c r="G505" s="389"/>
      <c r="H505" s="389"/>
      <c r="I505" s="389"/>
      <c r="J505" s="389"/>
      <c r="K505" s="389"/>
      <c r="L505" s="389"/>
      <c r="M505" s="389"/>
      <c r="N505" s="389"/>
      <c r="O505" s="390"/>
      <c r="P505" s="388"/>
      <c r="Q505" s="389"/>
      <c r="R505" s="394"/>
      <c r="T505" s="182"/>
      <c r="U505" s="182"/>
      <c r="V505" s="1"/>
      <c r="W505" s="1"/>
      <c r="X505" s="1"/>
    </row>
    <row r="506" spans="2:24" ht="9.75" customHeight="1" x14ac:dyDescent="0.4">
      <c r="C506" s="395" t="s">
        <v>510</v>
      </c>
      <c r="D506" s="387" t="s">
        <v>308</v>
      </c>
      <c r="E506" s="387"/>
      <c r="F506" s="388"/>
      <c r="G506" s="389"/>
      <c r="H506" s="389"/>
      <c r="I506" s="389"/>
      <c r="J506" s="389"/>
      <c r="K506" s="389"/>
      <c r="L506" s="389"/>
      <c r="M506" s="389"/>
      <c r="N506" s="389"/>
      <c r="O506" s="390"/>
      <c r="P506" s="388"/>
      <c r="Q506" s="389"/>
      <c r="R506" s="394"/>
      <c r="T506" s="182"/>
      <c r="U506" s="182"/>
      <c r="V506" s="1"/>
      <c r="W506" s="1"/>
      <c r="X506" s="1"/>
    </row>
    <row r="507" spans="2:24" ht="9.75" customHeight="1" x14ac:dyDescent="0.4">
      <c r="C507" s="387"/>
      <c r="D507" s="387" t="s">
        <v>374</v>
      </c>
      <c r="E507" s="387"/>
      <c r="F507" s="388"/>
      <c r="G507" s="389"/>
      <c r="H507" s="389"/>
      <c r="I507" s="389"/>
      <c r="J507" s="389"/>
      <c r="K507" s="389"/>
      <c r="L507" s="389"/>
      <c r="M507" s="389"/>
      <c r="N507" s="389"/>
      <c r="O507" s="390"/>
      <c r="P507" s="388"/>
      <c r="Q507" s="389"/>
      <c r="R507" s="394"/>
      <c r="T507" s="182"/>
      <c r="U507" s="182"/>
      <c r="V507" s="1"/>
      <c r="W507" s="1"/>
      <c r="X507" s="1"/>
    </row>
    <row r="508" spans="2:24" ht="9.75" customHeight="1" x14ac:dyDescent="0.4">
      <c r="C508" s="387" t="s">
        <v>466</v>
      </c>
      <c r="D508" s="387" t="s">
        <v>374</v>
      </c>
      <c r="E508" s="387"/>
      <c r="F508" s="388"/>
      <c r="G508" s="389"/>
      <c r="H508" s="389"/>
      <c r="I508" s="389"/>
      <c r="J508" s="389"/>
      <c r="K508" s="389"/>
      <c r="L508" s="389"/>
      <c r="M508" s="389"/>
      <c r="N508" s="389"/>
      <c r="O508" s="390"/>
      <c r="P508" s="388"/>
      <c r="Q508" s="389"/>
      <c r="R508" s="394"/>
      <c r="T508" s="182"/>
      <c r="U508" s="182"/>
      <c r="V508" s="1"/>
      <c r="W508" s="1"/>
      <c r="X508" s="1"/>
    </row>
    <row r="509" spans="2:24" ht="9.75" customHeight="1" x14ac:dyDescent="0.4">
      <c r="C509" s="387" t="s">
        <v>467</v>
      </c>
      <c r="D509" s="387" t="s">
        <v>374</v>
      </c>
      <c r="E509" s="387"/>
      <c r="F509" s="388"/>
      <c r="G509" s="389"/>
      <c r="H509" s="389"/>
      <c r="I509" s="389"/>
      <c r="J509" s="389"/>
      <c r="K509" s="389"/>
      <c r="L509" s="389"/>
      <c r="M509" s="389"/>
      <c r="N509" s="389"/>
      <c r="O509" s="390"/>
      <c r="P509" s="388"/>
      <c r="Q509" s="389"/>
      <c r="R509" s="394"/>
      <c r="T509" s="182"/>
      <c r="U509" s="182"/>
      <c r="V509" s="1"/>
      <c r="W509" s="1"/>
      <c r="X509" s="1"/>
    </row>
    <row r="510" spans="2:24" ht="9.75" customHeight="1" x14ac:dyDescent="0.4">
      <c r="C510" s="387"/>
      <c r="D510" s="387" t="s">
        <v>374</v>
      </c>
      <c r="E510" s="387"/>
      <c r="F510" s="388"/>
      <c r="G510" s="389"/>
      <c r="H510" s="389"/>
      <c r="I510" s="389"/>
      <c r="J510" s="389"/>
      <c r="K510" s="389"/>
      <c r="L510" s="389"/>
      <c r="M510" s="389"/>
      <c r="N510" s="389"/>
      <c r="O510" s="390"/>
      <c r="P510" s="388"/>
      <c r="Q510" s="389"/>
      <c r="R510" s="394"/>
      <c r="T510" s="182"/>
      <c r="U510" s="182"/>
      <c r="V510" s="1"/>
      <c r="W510" s="1"/>
      <c r="X510" s="1"/>
    </row>
    <row r="511" spans="2:24" ht="9.75" customHeight="1" x14ac:dyDescent="0.4">
      <c r="C511" s="387"/>
      <c r="D511" s="387" t="s">
        <v>374</v>
      </c>
      <c r="E511" s="387"/>
      <c r="F511" s="388"/>
      <c r="G511" s="389"/>
      <c r="H511" s="389"/>
      <c r="I511" s="389"/>
      <c r="J511" s="389"/>
      <c r="K511" s="389"/>
      <c r="L511" s="389"/>
      <c r="M511" s="389"/>
      <c r="N511" s="389"/>
      <c r="O511" s="390"/>
      <c r="P511" s="388"/>
      <c r="Q511" s="389"/>
      <c r="R511" s="394"/>
      <c r="T511" s="182"/>
      <c r="U511" s="182"/>
      <c r="V511" s="1"/>
      <c r="W511" s="1"/>
      <c r="X511" s="1"/>
    </row>
    <row r="512" spans="2:24" ht="9.75" customHeight="1" x14ac:dyDescent="0.4">
      <c r="C512" s="387"/>
      <c r="D512" s="387" t="s">
        <v>374</v>
      </c>
      <c r="E512" s="387"/>
      <c r="F512" s="388"/>
      <c r="G512" s="389"/>
      <c r="H512" s="389"/>
      <c r="I512" s="389"/>
      <c r="J512" s="389"/>
      <c r="K512" s="389"/>
      <c r="L512" s="389"/>
      <c r="M512" s="389"/>
      <c r="N512" s="389"/>
      <c r="O512" s="390"/>
      <c r="P512" s="388"/>
      <c r="Q512" s="389"/>
      <c r="R512" s="394"/>
      <c r="T512" s="182"/>
      <c r="U512" s="182"/>
      <c r="V512" s="1"/>
      <c r="W512" s="1"/>
      <c r="X512" s="1"/>
    </row>
    <row r="513" spans="3:24" ht="9.75" customHeight="1" x14ac:dyDescent="0.4">
      <c r="C513" s="387"/>
      <c r="D513" s="387" t="s">
        <v>310</v>
      </c>
      <c r="E513" s="387"/>
      <c r="F513" s="388"/>
      <c r="G513" s="389"/>
      <c r="H513" s="389"/>
      <c r="I513" s="389"/>
      <c r="J513" s="389"/>
      <c r="K513" s="389"/>
      <c r="L513" s="389"/>
      <c r="M513" s="389"/>
      <c r="N513" s="389"/>
      <c r="O513" s="390"/>
      <c r="P513" s="388"/>
      <c r="Q513" s="389"/>
      <c r="R513" s="394"/>
      <c r="T513" s="182"/>
      <c r="U513" s="182"/>
      <c r="V513" s="1"/>
      <c r="W513" s="1"/>
      <c r="X513" s="1"/>
    </row>
    <row r="514" spans="3:24" ht="9.75" customHeight="1" x14ac:dyDescent="0.4">
      <c r="C514" s="387"/>
      <c r="D514" s="387" t="s">
        <v>311</v>
      </c>
      <c r="E514" s="387"/>
      <c r="F514" s="388"/>
      <c r="G514" s="389"/>
      <c r="H514" s="389"/>
      <c r="I514" s="389"/>
      <c r="J514" s="389"/>
      <c r="K514" s="389"/>
      <c r="L514" s="389"/>
      <c r="M514" s="389"/>
      <c r="N514" s="389"/>
      <c r="O514" s="390"/>
      <c r="P514" s="388"/>
      <c r="Q514" s="389"/>
      <c r="R514" s="394"/>
      <c r="T514" s="182"/>
      <c r="U514" s="182"/>
      <c r="V514" s="1"/>
      <c r="W514" s="1"/>
      <c r="X514" s="1"/>
    </row>
    <row r="515" spans="3:24" ht="9.75" customHeight="1" x14ac:dyDescent="0.4">
      <c r="C515" s="387"/>
      <c r="D515" s="387" t="s">
        <v>312</v>
      </c>
      <c r="E515" s="387"/>
      <c r="F515" s="388"/>
      <c r="G515" s="389"/>
      <c r="H515" s="389"/>
      <c r="I515" s="389"/>
      <c r="J515" s="389"/>
      <c r="K515" s="389"/>
      <c r="L515" s="389"/>
      <c r="M515" s="389"/>
      <c r="N515" s="389"/>
      <c r="O515" s="390"/>
      <c r="P515" s="388"/>
      <c r="Q515" s="389"/>
      <c r="R515" s="394"/>
      <c r="T515" s="182"/>
      <c r="U515" s="182"/>
      <c r="V515" s="1"/>
      <c r="W515" s="1"/>
      <c r="X515" s="1"/>
    </row>
    <row r="516" spans="3:24" ht="9.75" customHeight="1" x14ac:dyDescent="0.4">
      <c r="C516" s="387"/>
      <c r="D516" s="387" t="s">
        <v>313</v>
      </c>
      <c r="E516" s="387"/>
      <c r="F516" s="388"/>
      <c r="G516" s="389"/>
      <c r="H516" s="389"/>
      <c r="I516" s="389"/>
      <c r="J516" s="389"/>
      <c r="K516" s="389"/>
      <c r="L516" s="389"/>
      <c r="M516" s="389"/>
      <c r="N516" s="389"/>
      <c r="O516" s="390"/>
      <c r="P516" s="388"/>
      <c r="Q516" s="389"/>
      <c r="R516" s="394"/>
      <c r="T516" s="182"/>
      <c r="U516" s="182"/>
      <c r="V516" s="1"/>
      <c r="W516" s="1"/>
      <c r="X516" s="1"/>
    </row>
    <row r="517" spans="3:24" ht="9.75" customHeight="1" x14ac:dyDescent="0.4">
      <c r="C517" s="398"/>
      <c r="D517" s="399" t="s">
        <v>314</v>
      </c>
      <c r="E517" s="399"/>
      <c r="F517" s="399"/>
      <c r="G517" s="400"/>
      <c r="H517" s="400"/>
      <c r="I517" s="400"/>
      <c r="J517" s="400"/>
      <c r="K517" s="400"/>
      <c r="L517" s="400"/>
      <c r="M517" s="400"/>
      <c r="N517" s="400"/>
      <c r="O517" s="401"/>
      <c r="P517" s="400"/>
      <c r="Q517" s="400"/>
      <c r="R517" s="402"/>
      <c r="T517" s="182"/>
      <c r="U517" s="182"/>
      <c r="V517" s="1"/>
      <c r="W517" s="1"/>
      <c r="X517" s="1"/>
    </row>
    <row r="518" spans="3:24" ht="9.75" customHeight="1" x14ac:dyDescent="0.4">
      <c r="C518" s="15" t="s">
        <v>84</v>
      </c>
      <c r="D518" s="15" t="s">
        <v>300</v>
      </c>
      <c r="E518" s="17"/>
      <c r="F518" s="32"/>
      <c r="G518" s="6"/>
      <c r="H518" s="6"/>
      <c r="I518" s="6"/>
      <c r="J518" s="6"/>
      <c r="K518" s="6"/>
      <c r="L518" s="6"/>
      <c r="M518" s="6"/>
      <c r="N518" s="6"/>
      <c r="O518" s="31"/>
      <c r="P518" s="73"/>
      <c r="Q518" s="108"/>
      <c r="R518" s="188"/>
      <c r="T518" s="182"/>
      <c r="U518" s="182"/>
      <c r="V518" s="1"/>
      <c r="W518" s="1"/>
      <c r="X518" s="1"/>
    </row>
    <row r="519" spans="3:24" ht="9.75" customHeight="1" x14ac:dyDescent="0.4">
      <c r="C519" s="17"/>
      <c r="D519" s="17" t="s">
        <v>301</v>
      </c>
      <c r="E519" s="17">
        <v>81</v>
      </c>
      <c r="F519" s="32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4</v>
      </c>
      <c r="M519" s="6">
        <v>9</v>
      </c>
      <c r="N519" s="6">
        <v>23</v>
      </c>
      <c r="O519" s="31">
        <v>30</v>
      </c>
      <c r="P519" s="32">
        <f>MIN(F519:O519)</f>
        <v>0</v>
      </c>
      <c r="Q519" s="6">
        <f>E519-P519</f>
        <v>81</v>
      </c>
      <c r="R519" s="59">
        <f>Q519/E519</f>
        <v>1</v>
      </c>
      <c r="T519" s="182"/>
      <c r="U519" s="182"/>
      <c r="V519" s="1"/>
      <c r="W519" s="1"/>
      <c r="X519" s="1"/>
    </row>
    <row r="520" spans="3:24" ht="9.75" customHeight="1" x14ac:dyDescent="0.4">
      <c r="C520" s="17"/>
      <c r="D520" s="17" t="s">
        <v>303</v>
      </c>
      <c r="E520" s="17"/>
      <c r="F520" s="32"/>
      <c r="G520" s="6"/>
      <c r="H520" s="6"/>
      <c r="I520" s="6"/>
      <c r="J520" s="6"/>
      <c r="K520" s="6"/>
      <c r="L520" s="6"/>
      <c r="M520" s="6"/>
      <c r="N520" s="6"/>
      <c r="O520" s="31"/>
      <c r="P520" s="32"/>
      <c r="Q520" s="6"/>
      <c r="R520" s="59"/>
      <c r="T520" s="182"/>
      <c r="U520" s="182"/>
      <c r="V520" s="1"/>
      <c r="W520" s="1"/>
      <c r="X520" s="1"/>
    </row>
    <row r="521" spans="3:24" ht="9.75" customHeight="1" x14ac:dyDescent="0.4">
      <c r="C521" s="17"/>
      <c r="D521" s="17" t="s">
        <v>434</v>
      </c>
      <c r="E521" s="17"/>
      <c r="F521" s="32"/>
      <c r="G521" s="6"/>
      <c r="H521" s="6"/>
      <c r="I521" s="6"/>
      <c r="J521" s="6"/>
      <c r="K521" s="6"/>
      <c r="L521" s="6"/>
      <c r="M521" s="6"/>
      <c r="N521" s="6"/>
      <c r="O521" s="31"/>
      <c r="P521" s="32"/>
      <c r="Q521" s="6"/>
      <c r="R521" s="59"/>
      <c r="T521" s="182"/>
      <c r="U521" s="182"/>
      <c r="V521" s="1"/>
      <c r="W521" s="1"/>
      <c r="X521" s="1"/>
    </row>
    <row r="522" spans="3:24" ht="9.75" customHeight="1" x14ac:dyDescent="0.4">
      <c r="C522" s="17"/>
      <c r="D522" s="17" t="s">
        <v>369</v>
      </c>
      <c r="E522" s="17"/>
      <c r="F522" s="32"/>
      <c r="G522" s="6"/>
      <c r="H522" s="6"/>
      <c r="I522" s="6"/>
      <c r="J522" s="6"/>
      <c r="K522" s="6"/>
      <c r="L522" s="6"/>
      <c r="M522" s="6"/>
      <c r="N522" s="6"/>
      <c r="O522" s="31"/>
      <c r="P522" s="32"/>
      <c r="Q522" s="6"/>
      <c r="R522" s="59"/>
      <c r="T522" s="182"/>
      <c r="U522" s="182"/>
      <c r="V522" s="1"/>
      <c r="W522" s="1"/>
      <c r="X522" s="1"/>
    </row>
    <row r="523" spans="3:24" ht="9.75" customHeight="1" x14ac:dyDescent="0.4">
      <c r="C523" s="17"/>
      <c r="D523" s="17" t="s">
        <v>308</v>
      </c>
      <c r="E523" s="17"/>
      <c r="F523" s="32"/>
      <c r="G523" s="6"/>
      <c r="H523" s="6"/>
      <c r="I523" s="6"/>
      <c r="J523" s="6"/>
      <c r="K523" s="6"/>
      <c r="L523" s="6"/>
      <c r="M523" s="6"/>
      <c r="N523" s="6"/>
      <c r="O523" s="31"/>
      <c r="P523" s="32"/>
      <c r="Q523" s="6"/>
      <c r="R523" s="59"/>
      <c r="T523" s="182"/>
      <c r="U523" s="182"/>
      <c r="V523" s="1"/>
      <c r="W523" s="1"/>
      <c r="X523" s="1"/>
    </row>
    <row r="524" spans="3:24" ht="9.75" customHeight="1" x14ac:dyDescent="0.4">
      <c r="C524" s="17"/>
      <c r="D524" s="403" t="s">
        <v>499</v>
      </c>
      <c r="E524" s="403">
        <v>9</v>
      </c>
      <c r="F524" s="404"/>
      <c r="G524" s="405"/>
      <c r="H524" s="405"/>
      <c r="I524" s="405"/>
      <c r="J524" s="405"/>
      <c r="K524" s="405"/>
      <c r="L524" s="405"/>
      <c r="M524" s="405"/>
      <c r="N524" s="405"/>
      <c r="O524" s="406"/>
      <c r="P524" s="32"/>
      <c r="Q524" s="6"/>
      <c r="R524" s="59"/>
      <c r="T524" s="182"/>
      <c r="U524" s="182"/>
      <c r="V524" s="1"/>
      <c r="W524" s="1"/>
      <c r="X524" s="1"/>
    </row>
    <row r="525" spans="3:24" ht="9.75" customHeight="1" x14ac:dyDescent="0.4">
      <c r="C525" s="17"/>
      <c r="D525" s="17" t="s">
        <v>374</v>
      </c>
      <c r="E525" s="17"/>
      <c r="F525" s="32"/>
      <c r="G525" s="6"/>
      <c r="H525" s="6"/>
      <c r="I525" s="6"/>
      <c r="J525" s="6"/>
      <c r="K525" s="6"/>
      <c r="L525" s="6"/>
      <c r="M525" s="6"/>
      <c r="N525" s="6"/>
      <c r="O525" s="31"/>
      <c r="P525" s="32"/>
      <c r="Q525" s="6"/>
      <c r="R525" s="59"/>
      <c r="T525" s="182"/>
      <c r="U525" s="182"/>
      <c r="V525" s="1"/>
      <c r="W525" s="1"/>
      <c r="X525" s="1"/>
    </row>
    <row r="526" spans="3:24" ht="9.75" customHeight="1" x14ac:dyDescent="0.4">
      <c r="C526" s="17"/>
      <c r="D526" s="17" t="s">
        <v>374</v>
      </c>
      <c r="E526" s="17"/>
      <c r="F526" s="32"/>
      <c r="G526" s="6"/>
      <c r="H526" s="6"/>
      <c r="I526" s="6"/>
      <c r="J526" s="6"/>
      <c r="K526" s="6"/>
      <c r="L526" s="6"/>
      <c r="M526" s="6"/>
      <c r="N526" s="6"/>
      <c r="O526" s="31"/>
      <c r="P526" s="32"/>
      <c r="Q526" s="6"/>
      <c r="R526" s="59"/>
      <c r="T526" s="182"/>
      <c r="U526" s="182"/>
      <c r="V526" s="1"/>
      <c r="W526" s="1"/>
      <c r="X526" s="1"/>
    </row>
    <row r="527" spans="3:24" ht="9.75" customHeight="1" x14ac:dyDescent="0.4">
      <c r="C527" s="17"/>
      <c r="D527" s="17" t="s">
        <v>374</v>
      </c>
      <c r="E527" s="17"/>
      <c r="F527" s="32"/>
      <c r="G527" s="6"/>
      <c r="H527" s="6"/>
      <c r="I527" s="6"/>
      <c r="J527" s="6"/>
      <c r="K527" s="6"/>
      <c r="L527" s="6"/>
      <c r="M527" s="6"/>
      <c r="N527" s="6"/>
      <c r="O527" s="31"/>
      <c r="P527" s="32"/>
      <c r="Q527" s="6"/>
      <c r="R527" s="59"/>
      <c r="T527" s="182"/>
      <c r="U527" s="182"/>
      <c r="V527" s="1"/>
      <c r="W527" s="1"/>
      <c r="X527" s="1"/>
    </row>
    <row r="528" spans="3:24" ht="9.75" customHeight="1" x14ac:dyDescent="0.4">
      <c r="C528" s="17"/>
      <c r="D528" s="17" t="s">
        <v>374</v>
      </c>
      <c r="E528" s="17"/>
      <c r="F528" s="32"/>
      <c r="G528" s="6"/>
      <c r="H528" s="6"/>
      <c r="I528" s="6"/>
      <c r="J528" s="6"/>
      <c r="K528" s="6"/>
      <c r="L528" s="6"/>
      <c r="M528" s="6"/>
      <c r="N528" s="6"/>
      <c r="O528" s="31"/>
      <c r="P528" s="32"/>
      <c r="Q528" s="6"/>
      <c r="R528" s="59"/>
      <c r="T528" s="182"/>
      <c r="U528" s="182"/>
      <c r="V528" s="1"/>
      <c r="W528" s="1"/>
      <c r="X528" s="1"/>
    </row>
    <row r="529" spans="2:24" ht="9.75" customHeight="1" x14ac:dyDescent="0.4">
      <c r="C529" s="17"/>
      <c r="D529" s="17" t="s">
        <v>374</v>
      </c>
      <c r="E529" s="17"/>
      <c r="F529" s="32"/>
      <c r="G529" s="6"/>
      <c r="H529" s="6"/>
      <c r="I529" s="6"/>
      <c r="J529" s="6"/>
      <c r="K529" s="6"/>
      <c r="L529" s="6"/>
      <c r="M529" s="6"/>
      <c r="N529" s="6"/>
      <c r="O529" s="31"/>
      <c r="P529" s="32"/>
      <c r="Q529" s="6"/>
      <c r="R529" s="59"/>
      <c r="T529" s="182"/>
      <c r="U529" s="182"/>
      <c r="V529" s="1"/>
      <c r="W529" s="1"/>
      <c r="X529" s="1"/>
    </row>
    <row r="530" spans="2:24" ht="9.75" customHeight="1" x14ac:dyDescent="0.4">
      <c r="C530" s="17"/>
      <c r="D530" s="17" t="s">
        <v>310</v>
      </c>
      <c r="E530" s="17">
        <v>18</v>
      </c>
      <c r="F530" s="32">
        <v>5</v>
      </c>
      <c r="G530" s="6">
        <v>6</v>
      </c>
      <c r="H530" s="6">
        <v>1</v>
      </c>
      <c r="I530" s="6">
        <v>2</v>
      </c>
      <c r="J530" s="6">
        <v>4</v>
      </c>
      <c r="K530" s="6">
        <v>5</v>
      </c>
      <c r="L530" s="6">
        <v>4</v>
      </c>
      <c r="M530" s="6">
        <v>1</v>
      </c>
      <c r="N530" s="6">
        <v>6</v>
      </c>
      <c r="O530" s="31">
        <v>10</v>
      </c>
      <c r="P530" s="32">
        <f>MIN(F530:O530)</f>
        <v>1</v>
      </c>
      <c r="Q530" s="6">
        <f>E530-P530</f>
        <v>17</v>
      </c>
      <c r="R530" s="59">
        <f>Q530/E530</f>
        <v>0.94444444444444442</v>
      </c>
      <c r="T530" s="182"/>
      <c r="U530" s="182"/>
      <c r="V530" s="1"/>
      <c r="W530" s="1"/>
      <c r="X530" s="1"/>
    </row>
    <row r="531" spans="2:24" ht="9.75" customHeight="1" x14ac:dyDescent="0.4">
      <c r="C531" s="17"/>
      <c r="D531" s="17" t="s">
        <v>311</v>
      </c>
      <c r="E531" s="17"/>
      <c r="F531" s="32"/>
      <c r="G531" s="6"/>
      <c r="H531" s="6"/>
      <c r="I531" s="6"/>
      <c r="J531" s="6"/>
      <c r="K531" s="6"/>
      <c r="L531" s="6"/>
      <c r="M531" s="6"/>
      <c r="N531" s="6"/>
      <c r="O531" s="31"/>
      <c r="P531" s="32"/>
      <c r="Q531" s="6"/>
      <c r="R531" s="59"/>
      <c r="T531" s="182"/>
      <c r="U531" s="182"/>
      <c r="V531" s="1"/>
      <c r="W531" s="1"/>
      <c r="X531" s="1"/>
    </row>
    <row r="532" spans="2:24" ht="9.75" customHeight="1" x14ac:dyDescent="0.4">
      <c r="C532" s="17"/>
      <c r="D532" s="17" t="s">
        <v>312</v>
      </c>
      <c r="E532" s="17"/>
      <c r="F532" s="32"/>
      <c r="G532" s="6"/>
      <c r="H532" s="6"/>
      <c r="I532" s="6"/>
      <c r="J532" s="6"/>
      <c r="K532" s="6"/>
      <c r="L532" s="6"/>
      <c r="M532" s="6"/>
      <c r="N532" s="6"/>
      <c r="O532" s="31"/>
      <c r="P532" s="32"/>
      <c r="Q532" s="6"/>
      <c r="R532" s="59"/>
      <c r="T532" s="182"/>
      <c r="U532" s="182"/>
      <c r="V532" s="1"/>
      <c r="W532" s="1"/>
      <c r="X532" s="1"/>
    </row>
    <row r="533" spans="2:24" ht="9.75" customHeight="1" x14ac:dyDescent="0.4">
      <c r="C533" s="17"/>
      <c r="D533" s="17" t="s">
        <v>313</v>
      </c>
      <c r="E533" s="17"/>
      <c r="F533" s="32"/>
      <c r="G533" s="6"/>
      <c r="H533" s="6"/>
      <c r="I533" s="6"/>
      <c r="J533" s="6"/>
      <c r="K533" s="6"/>
      <c r="L533" s="6"/>
      <c r="M533" s="6"/>
      <c r="N533" s="6"/>
      <c r="O533" s="31"/>
      <c r="P533" s="32"/>
      <c r="Q533" s="6"/>
      <c r="R533" s="59"/>
      <c r="T533" s="182"/>
      <c r="U533" s="182"/>
      <c r="V533" s="1"/>
      <c r="W533" s="1"/>
      <c r="X533" s="1"/>
    </row>
    <row r="534" spans="2:24" ht="9.75" customHeight="1" x14ac:dyDescent="0.4">
      <c r="B534" s="219" t="s">
        <v>395</v>
      </c>
      <c r="C534" s="34"/>
      <c r="D534" s="104" t="s">
        <v>314</v>
      </c>
      <c r="E534" s="104">
        <f t="shared" ref="E534:O534" si="101">SUM(E518:E533)</f>
        <v>108</v>
      </c>
      <c r="F534" s="104">
        <f t="shared" si="101"/>
        <v>5</v>
      </c>
      <c r="G534" s="128">
        <f t="shared" si="101"/>
        <v>6</v>
      </c>
      <c r="H534" s="128">
        <f t="shared" si="101"/>
        <v>1</v>
      </c>
      <c r="I534" s="128">
        <f t="shared" si="101"/>
        <v>2</v>
      </c>
      <c r="J534" s="128">
        <f t="shared" si="101"/>
        <v>4</v>
      </c>
      <c r="K534" s="128">
        <f t="shared" si="101"/>
        <v>5</v>
      </c>
      <c r="L534" s="128">
        <f t="shared" si="101"/>
        <v>8</v>
      </c>
      <c r="M534" s="128">
        <f t="shared" si="101"/>
        <v>10</v>
      </c>
      <c r="N534" s="128">
        <f t="shared" si="101"/>
        <v>29</v>
      </c>
      <c r="O534" s="129">
        <f t="shared" si="101"/>
        <v>40</v>
      </c>
      <c r="P534" s="128">
        <f>MIN(F534:O534)</f>
        <v>1</v>
      </c>
      <c r="Q534" s="128">
        <f>E534-P534</f>
        <v>107</v>
      </c>
      <c r="R534" s="72">
        <f>Q534/E534</f>
        <v>0.9907407407407407</v>
      </c>
      <c r="T534" s="182"/>
      <c r="U534" s="182"/>
      <c r="V534" s="1"/>
      <c r="W534" s="1"/>
      <c r="X534" s="1"/>
    </row>
    <row r="535" spans="2:24" ht="9.75" customHeight="1" x14ac:dyDescent="0.4">
      <c r="C535" s="15" t="s">
        <v>103</v>
      </c>
      <c r="D535" s="15" t="s">
        <v>300</v>
      </c>
      <c r="E535" s="17"/>
      <c r="F535" s="32"/>
      <c r="G535" s="6"/>
      <c r="H535" s="6"/>
      <c r="I535" s="6"/>
      <c r="J535" s="6"/>
      <c r="K535" s="6"/>
      <c r="L535" s="6"/>
      <c r="M535" s="6"/>
      <c r="N535" s="6"/>
      <c r="O535" s="31"/>
      <c r="P535" s="32"/>
      <c r="Q535" s="6"/>
      <c r="R535" s="59"/>
      <c r="T535" s="182"/>
      <c r="U535" s="182"/>
      <c r="V535" s="1"/>
      <c r="W535" s="1"/>
      <c r="X535" s="1"/>
    </row>
    <row r="536" spans="2:24" ht="9.75" customHeight="1" x14ac:dyDescent="0.4">
      <c r="C536" s="17"/>
      <c r="D536" s="17" t="s">
        <v>301</v>
      </c>
      <c r="E536" s="17">
        <v>384</v>
      </c>
      <c r="F536" s="32">
        <v>210</v>
      </c>
      <c r="G536" s="6">
        <v>202</v>
      </c>
      <c r="H536" s="6">
        <v>198</v>
      </c>
      <c r="I536" s="6">
        <v>199</v>
      </c>
      <c r="J536" s="6">
        <v>212</v>
      </c>
      <c r="K536" s="6">
        <v>201</v>
      </c>
      <c r="L536" s="6">
        <v>204</v>
      </c>
      <c r="M536" s="6">
        <v>203</v>
      </c>
      <c r="N536" s="6">
        <v>228</v>
      </c>
      <c r="O536" s="6">
        <v>234</v>
      </c>
      <c r="P536" s="32">
        <f>MIN(F536:O536)</f>
        <v>198</v>
      </c>
      <c r="Q536" s="6">
        <f>E536-P536</f>
        <v>186</v>
      </c>
      <c r="R536" s="59">
        <f>Q536/E536</f>
        <v>0.484375</v>
      </c>
      <c r="T536" s="182"/>
      <c r="U536" s="182"/>
      <c r="V536" s="1"/>
      <c r="W536" s="1"/>
      <c r="X536" s="1"/>
    </row>
    <row r="537" spans="2:24" ht="9.75" customHeight="1" x14ac:dyDescent="0.4">
      <c r="C537" s="17"/>
      <c r="D537" s="17" t="s">
        <v>303</v>
      </c>
      <c r="E537" s="17"/>
      <c r="F537" s="32"/>
      <c r="G537" s="6"/>
      <c r="H537" s="6"/>
      <c r="I537" s="6"/>
      <c r="J537" s="6"/>
      <c r="K537" s="6"/>
      <c r="L537" s="6"/>
      <c r="M537" s="6"/>
      <c r="N537" s="6"/>
      <c r="O537" s="31"/>
      <c r="P537" s="32"/>
      <c r="Q537" s="6"/>
      <c r="R537" s="59"/>
      <c r="T537" s="182"/>
      <c r="U537" s="182"/>
      <c r="V537" s="1"/>
      <c r="W537" s="1"/>
      <c r="X537" s="1"/>
    </row>
    <row r="538" spans="2:24" ht="9.75" customHeight="1" x14ac:dyDescent="0.4">
      <c r="C538" s="17"/>
      <c r="D538" s="17" t="s">
        <v>434</v>
      </c>
      <c r="E538" s="17"/>
      <c r="F538" s="32"/>
      <c r="G538" s="6"/>
      <c r="H538" s="6"/>
      <c r="I538" s="6"/>
      <c r="J538" s="6"/>
      <c r="K538" s="6"/>
      <c r="L538" s="6"/>
      <c r="M538" s="6"/>
      <c r="N538" s="6"/>
      <c r="O538" s="31"/>
      <c r="P538" s="32"/>
      <c r="Q538" s="6"/>
      <c r="R538" s="59"/>
      <c r="T538" s="182"/>
      <c r="U538" s="182"/>
      <c r="V538" s="1"/>
      <c r="W538" s="1"/>
      <c r="X538" s="1"/>
    </row>
    <row r="539" spans="2:24" ht="9.75" customHeight="1" x14ac:dyDescent="0.4">
      <c r="C539" s="17"/>
      <c r="D539" s="17" t="s">
        <v>369</v>
      </c>
      <c r="E539" s="17"/>
      <c r="F539" s="32"/>
      <c r="G539" s="6"/>
      <c r="H539" s="6"/>
      <c r="I539" s="6"/>
      <c r="J539" s="6"/>
      <c r="K539" s="6"/>
      <c r="L539" s="6"/>
      <c r="M539" s="6"/>
      <c r="N539" s="6"/>
      <c r="O539" s="31"/>
      <c r="P539" s="32"/>
      <c r="Q539" s="6"/>
      <c r="R539" s="59"/>
      <c r="T539" s="182"/>
      <c r="U539" s="182"/>
      <c r="V539" s="1"/>
      <c r="W539" s="1"/>
      <c r="X539" s="1"/>
    </row>
    <row r="540" spans="2:24" ht="9.75" customHeight="1" x14ac:dyDescent="0.4">
      <c r="C540" s="17"/>
      <c r="D540" s="17" t="s">
        <v>308</v>
      </c>
      <c r="E540" s="17"/>
      <c r="F540" s="32"/>
      <c r="G540" s="6"/>
      <c r="H540" s="6"/>
      <c r="I540" s="6"/>
      <c r="J540" s="6"/>
      <c r="K540" s="6"/>
      <c r="L540" s="6"/>
      <c r="M540" s="6"/>
      <c r="N540" s="6"/>
      <c r="O540" s="31"/>
      <c r="P540" s="32"/>
      <c r="Q540" s="6"/>
      <c r="R540" s="59"/>
      <c r="T540" s="182"/>
      <c r="U540" s="182"/>
      <c r="V540" s="1"/>
      <c r="W540" s="1"/>
      <c r="X540" s="1"/>
    </row>
    <row r="541" spans="2:24" ht="9.75" customHeight="1" x14ac:dyDescent="0.4">
      <c r="C541" s="17"/>
      <c r="D541" s="17" t="s">
        <v>374</v>
      </c>
      <c r="E541" s="17"/>
      <c r="F541" s="32"/>
      <c r="G541" s="6"/>
      <c r="H541" s="6"/>
      <c r="I541" s="6"/>
      <c r="J541" s="6"/>
      <c r="K541" s="6"/>
      <c r="L541" s="6"/>
      <c r="M541" s="6"/>
      <c r="N541" s="6"/>
      <c r="O541" s="31"/>
      <c r="P541" s="32"/>
      <c r="Q541" s="6"/>
      <c r="R541" s="59"/>
      <c r="T541" s="182"/>
      <c r="U541" s="182"/>
      <c r="V541" s="1"/>
      <c r="W541" s="1"/>
      <c r="X541" s="1"/>
    </row>
    <row r="542" spans="2:24" ht="9.75" customHeight="1" x14ac:dyDescent="0.4">
      <c r="C542" s="17"/>
      <c r="D542" s="17" t="s">
        <v>374</v>
      </c>
      <c r="E542" s="17"/>
      <c r="F542" s="32"/>
      <c r="G542" s="6"/>
      <c r="H542" s="6"/>
      <c r="I542" s="6"/>
      <c r="J542" s="6"/>
      <c r="K542" s="6"/>
      <c r="L542" s="6"/>
      <c r="M542" s="6"/>
      <c r="N542" s="6"/>
      <c r="O542" s="31"/>
      <c r="P542" s="32"/>
      <c r="Q542" s="6"/>
      <c r="R542" s="59"/>
      <c r="T542" s="182"/>
      <c r="U542" s="182"/>
      <c r="V542" s="1"/>
      <c r="W542" s="1"/>
      <c r="X542" s="1"/>
    </row>
    <row r="543" spans="2:24" ht="9.75" customHeight="1" x14ac:dyDescent="0.4">
      <c r="C543" s="17"/>
      <c r="D543" s="17" t="s">
        <v>374</v>
      </c>
      <c r="E543" s="17"/>
      <c r="F543" s="32"/>
      <c r="G543" s="6"/>
      <c r="H543" s="6"/>
      <c r="I543" s="6"/>
      <c r="J543" s="6"/>
      <c r="K543" s="6"/>
      <c r="L543" s="6"/>
      <c r="M543" s="6"/>
      <c r="N543" s="6"/>
      <c r="O543" s="31"/>
      <c r="P543" s="32"/>
      <c r="Q543" s="6"/>
      <c r="R543" s="59"/>
      <c r="T543" s="182"/>
      <c r="U543" s="182"/>
      <c r="V543" s="1"/>
      <c r="W543" s="1"/>
      <c r="X543" s="1"/>
    </row>
    <row r="544" spans="2:24" ht="9.75" customHeight="1" x14ac:dyDescent="0.4">
      <c r="C544" s="17"/>
      <c r="D544" s="17" t="s">
        <v>374</v>
      </c>
      <c r="E544" s="17"/>
      <c r="F544" s="32"/>
      <c r="G544" s="6"/>
      <c r="H544" s="6"/>
      <c r="I544" s="6"/>
      <c r="J544" s="6"/>
      <c r="K544" s="6"/>
      <c r="L544" s="6"/>
      <c r="M544" s="6"/>
      <c r="N544" s="6"/>
      <c r="O544" s="31"/>
      <c r="P544" s="32"/>
      <c r="Q544" s="6"/>
      <c r="R544" s="59"/>
      <c r="T544" s="182"/>
      <c r="U544" s="182"/>
      <c r="V544" s="1"/>
      <c r="W544" s="1"/>
      <c r="X544" s="1"/>
    </row>
    <row r="545" spans="2:24" ht="9.75" customHeight="1" x14ac:dyDescent="0.4">
      <c r="C545" s="17"/>
      <c r="D545" s="17" t="s">
        <v>374</v>
      </c>
      <c r="E545" s="17"/>
      <c r="F545" s="32"/>
      <c r="G545" s="6"/>
      <c r="H545" s="6"/>
      <c r="I545" s="6"/>
      <c r="J545" s="6"/>
      <c r="K545" s="6"/>
      <c r="L545" s="6"/>
      <c r="M545" s="6"/>
      <c r="N545" s="6"/>
      <c r="O545" s="31"/>
      <c r="P545" s="32"/>
      <c r="Q545" s="6"/>
      <c r="R545" s="59"/>
      <c r="T545" s="182"/>
      <c r="U545" s="182"/>
      <c r="V545" s="1"/>
      <c r="W545" s="1"/>
      <c r="X545" s="1"/>
    </row>
    <row r="546" spans="2:24" ht="9.75" customHeight="1" x14ac:dyDescent="0.4">
      <c r="C546" s="17"/>
      <c r="D546" s="17" t="s">
        <v>374</v>
      </c>
      <c r="E546" s="17"/>
      <c r="F546" s="32"/>
      <c r="G546" s="6"/>
      <c r="H546" s="6"/>
      <c r="I546" s="6"/>
      <c r="J546" s="6"/>
      <c r="K546" s="6"/>
      <c r="L546" s="6"/>
      <c r="M546" s="6"/>
      <c r="N546" s="6"/>
      <c r="O546" s="31"/>
      <c r="P546" s="32"/>
      <c r="Q546" s="6"/>
      <c r="R546" s="59"/>
      <c r="T546" s="182"/>
      <c r="U546" s="182"/>
      <c r="V546" s="1"/>
      <c r="W546" s="1"/>
      <c r="X546" s="1"/>
    </row>
    <row r="547" spans="2:24" ht="9.75" customHeight="1" x14ac:dyDescent="0.4">
      <c r="C547" s="17"/>
      <c r="D547" s="17" t="s">
        <v>310</v>
      </c>
      <c r="E547" s="17">
        <v>8</v>
      </c>
      <c r="F547" s="32">
        <v>4</v>
      </c>
      <c r="G547" s="6">
        <v>5</v>
      </c>
      <c r="H547" s="6">
        <v>5</v>
      </c>
      <c r="I547" s="6">
        <v>4</v>
      </c>
      <c r="J547" s="6">
        <v>4</v>
      </c>
      <c r="K547" s="6">
        <v>4</v>
      </c>
      <c r="L547" s="6">
        <v>5</v>
      </c>
      <c r="M547" s="6">
        <v>3</v>
      </c>
      <c r="N547" s="6">
        <v>5</v>
      </c>
      <c r="O547" s="31">
        <v>5</v>
      </c>
      <c r="P547" s="32">
        <f>MIN(F547:O547)</f>
        <v>3</v>
      </c>
      <c r="Q547" s="6">
        <f>E547-P547</f>
        <v>5</v>
      </c>
      <c r="R547" s="59">
        <f>Q547/E547</f>
        <v>0.625</v>
      </c>
      <c r="T547" s="182"/>
      <c r="U547" s="182"/>
      <c r="V547" s="1"/>
      <c r="W547" s="1"/>
      <c r="X547" s="1"/>
    </row>
    <row r="548" spans="2:24" ht="9.75" customHeight="1" x14ac:dyDescent="0.4">
      <c r="C548" s="17"/>
      <c r="D548" s="17" t="s">
        <v>311</v>
      </c>
      <c r="E548" s="17"/>
      <c r="F548" s="32"/>
      <c r="G548" s="6"/>
      <c r="H548" s="6"/>
      <c r="I548" s="6"/>
      <c r="J548" s="6"/>
      <c r="K548" s="6"/>
      <c r="L548" s="6"/>
      <c r="M548" s="6"/>
      <c r="N548" s="6"/>
      <c r="O548" s="31"/>
      <c r="P548" s="32"/>
      <c r="Q548" s="6"/>
      <c r="R548" s="59"/>
      <c r="T548" s="182"/>
      <c r="U548" s="182"/>
      <c r="V548" s="1"/>
      <c r="W548" s="1"/>
      <c r="X548" s="1"/>
    </row>
    <row r="549" spans="2:24" ht="9.75" customHeight="1" x14ac:dyDescent="0.4">
      <c r="C549" s="17"/>
      <c r="D549" s="17" t="s">
        <v>312</v>
      </c>
      <c r="E549" s="17"/>
      <c r="F549" s="32"/>
      <c r="G549" s="6"/>
      <c r="H549" s="6"/>
      <c r="I549" s="6"/>
      <c r="J549" s="6"/>
      <c r="K549" s="6"/>
      <c r="L549" s="6"/>
      <c r="M549" s="6"/>
      <c r="N549" s="6"/>
      <c r="O549" s="31"/>
      <c r="P549" s="32"/>
      <c r="Q549" s="6"/>
      <c r="R549" s="59"/>
      <c r="T549" s="182"/>
      <c r="U549" s="182"/>
      <c r="V549" s="1"/>
      <c r="W549" s="1"/>
      <c r="X549" s="1"/>
    </row>
    <row r="550" spans="2:24" ht="9.75" customHeight="1" x14ac:dyDescent="0.4">
      <c r="C550" s="17"/>
      <c r="D550" s="17" t="s">
        <v>313</v>
      </c>
      <c r="E550" s="17"/>
      <c r="F550" s="32"/>
      <c r="G550" s="6"/>
      <c r="H550" s="6"/>
      <c r="I550" s="6"/>
      <c r="J550" s="6"/>
      <c r="K550" s="6"/>
      <c r="L550" s="6"/>
      <c r="M550" s="6"/>
      <c r="N550" s="6"/>
      <c r="O550" s="31"/>
      <c r="P550" s="32"/>
      <c r="Q550" s="6"/>
      <c r="R550" s="59"/>
      <c r="T550" s="182"/>
      <c r="U550" s="182"/>
      <c r="V550" s="1"/>
      <c r="W550" s="1"/>
      <c r="X550" s="1"/>
    </row>
    <row r="551" spans="2:24" ht="9.75" customHeight="1" x14ac:dyDescent="0.4">
      <c r="B551" s="219" t="s">
        <v>395</v>
      </c>
      <c r="C551" s="34"/>
      <c r="D551" s="104" t="s">
        <v>314</v>
      </c>
      <c r="E551" s="104">
        <f t="shared" ref="E551:O551" si="102">SUM(E535:E550)</f>
        <v>392</v>
      </c>
      <c r="F551" s="104">
        <f t="shared" si="102"/>
        <v>214</v>
      </c>
      <c r="G551" s="128">
        <f t="shared" si="102"/>
        <v>207</v>
      </c>
      <c r="H551" s="128">
        <f t="shared" si="102"/>
        <v>203</v>
      </c>
      <c r="I551" s="128">
        <f t="shared" si="102"/>
        <v>203</v>
      </c>
      <c r="J551" s="128">
        <f t="shared" si="102"/>
        <v>216</v>
      </c>
      <c r="K551" s="128">
        <f t="shared" si="102"/>
        <v>205</v>
      </c>
      <c r="L551" s="128">
        <f t="shared" si="102"/>
        <v>209</v>
      </c>
      <c r="M551" s="128">
        <f t="shared" si="102"/>
        <v>206</v>
      </c>
      <c r="N551" s="128">
        <f t="shared" si="102"/>
        <v>233</v>
      </c>
      <c r="O551" s="129">
        <f t="shared" si="102"/>
        <v>239</v>
      </c>
      <c r="P551" s="128">
        <f>MIN(F551:O551)</f>
        <v>203</v>
      </c>
      <c r="Q551" s="128">
        <f>E551-P551</f>
        <v>189</v>
      </c>
      <c r="R551" s="72">
        <f>Q551/E551</f>
        <v>0.48214285714285715</v>
      </c>
      <c r="T551" s="182"/>
      <c r="U551" s="182"/>
      <c r="V551" s="1"/>
      <c r="W551" s="1"/>
      <c r="X551" s="1"/>
    </row>
    <row r="552" spans="2:24" ht="9.75" customHeight="1" x14ac:dyDescent="0.4">
      <c r="C552" s="15" t="s">
        <v>138</v>
      </c>
      <c r="D552" s="15" t="s">
        <v>300</v>
      </c>
      <c r="E552" s="17"/>
      <c r="F552" s="32"/>
      <c r="G552" s="6"/>
      <c r="H552" s="6"/>
      <c r="I552" s="6"/>
      <c r="J552" s="6"/>
      <c r="K552" s="6"/>
      <c r="L552" s="6"/>
      <c r="M552" s="6"/>
      <c r="N552" s="6"/>
      <c r="O552" s="31"/>
      <c r="P552" s="32"/>
      <c r="Q552" s="6"/>
      <c r="R552" s="59"/>
      <c r="T552" s="182"/>
      <c r="U552" s="182"/>
      <c r="V552" s="1"/>
      <c r="W552" s="1"/>
      <c r="X552" s="1"/>
    </row>
    <row r="553" spans="2:24" ht="9.75" customHeight="1" x14ac:dyDescent="0.4">
      <c r="C553" s="17"/>
      <c r="D553" s="17" t="s">
        <v>301</v>
      </c>
      <c r="E553" s="17">
        <f>131+61</f>
        <v>192</v>
      </c>
      <c r="F553" s="32">
        <f>6+8</f>
        <v>14</v>
      </c>
      <c r="G553" s="6">
        <v>5</v>
      </c>
      <c r="H553" s="6">
        <v>0</v>
      </c>
      <c r="I553" s="6">
        <v>2</v>
      </c>
      <c r="J553" s="6">
        <v>8</v>
      </c>
      <c r="K553" s="6">
        <v>4</v>
      </c>
      <c r="L553" s="6">
        <v>5</v>
      </c>
      <c r="M553" s="6">
        <f>14+9</f>
        <v>23</v>
      </c>
      <c r="N553" s="6">
        <f>54+14</f>
        <v>68</v>
      </c>
      <c r="O553" s="31">
        <f>87+36</f>
        <v>123</v>
      </c>
      <c r="P553" s="32">
        <f>MIN(F553:O553)</f>
        <v>0</v>
      </c>
      <c r="Q553" s="6">
        <f>E553-P553</f>
        <v>192</v>
      </c>
      <c r="R553" s="59">
        <f>Q553/E553</f>
        <v>1</v>
      </c>
      <c r="T553" s="182"/>
      <c r="U553" s="182"/>
      <c r="V553" s="1"/>
      <c r="W553" s="1"/>
      <c r="X553" s="1"/>
    </row>
    <row r="554" spans="2:24" ht="9.75" customHeight="1" x14ac:dyDescent="0.4">
      <c r="C554" s="17"/>
      <c r="D554" s="17" t="s">
        <v>303</v>
      </c>
      <c r="E554" s="17"/>
      <c r="F554" s="32"/>
      <c r="G554" s="6"/>
      <c r="H554" s="6"/>
      <c r="I554" s="6"/>
      <c r="J554" s="6"/>
      <c r="K554" s="6"/>
      <c r="L554" s="6"/>
      <c r="M554" s="6"/>
      <c r="N554" s="6"/>
      <c r="O554" s="31"/>
      <c r="P554" s="32"/>
      <c r="Q554" s="6"/>
      <c r="R554" s="59"/>
      <c r="T554" s="182"/>
      <c r="U554" s="182"/>
      <c r="V554" s="1"/>
      <c r="W554" s="1"/>
      <c r="X554" s="1"/>
    </row>
    <row r="555" spans="2:24" ht="9.75" customHeight="1" x14ac:dyDescent="0.4">
      <c r="C555" s="17"/>
      <c r="D555" s="17" t="s">
        <v>434</v>
      </c>
      <c r="E555" s="17"/>
      <c r="F555" s="32"/>
      <c r="G555" s="6"/>
      <c r="H555" s="6"/>
      <c r="I555" s="6"/>
      <c r="J555" s="6"/>
      <c r="K555" s="6"/>
      <c r="L555" s="6"/>
      <c r="M555" s="6"/>
      <c r="N555" s="6"/>
      <c r="O555" s="31"/>
      <c r="P555" s="32"/>
      <c r="Q555" s="6"/>
      <c r="R555" s="59"/>
      <c r="T555" s="182"/>
      <c r="U555" s="182"/>
      <c r="V555" s="1"/>
      <c r="W555" s="1"/>
      <c r="X555" s="1"/>
    </row>
    <row r="556" spans="2:24" ht="9.75" customHeight="1" x14ac:dyDescent="0.4">
      <c r="C556" s="17"/>
      <c r="D556" s="17" t="s">
        <v>369</v>
      </c>
      <c r="E556" s="17"/>
      <c r="F556" s="32"/>
      <c r="G556" s="6"/>
      <c r="H556" s="6"/>
      <c r="I556" s="6"/>
      <c r="J556" s="6"/>
      <c r="K556" s="6"/>
      <c r="L556" s="6"/>
      <c r="M556" s="6"/>
      <c r="N556" s="6"/>
      <c r="O556" s="31"/>
      <c r="P556" s="32"/>
      <c r="Q556" s="6"/>
      <c r="R556" s="59"/>
      <c r="T556" s="182"/>
      <c r="U556" s="182"/>
      <c r="V556" s="1"/>
      <c r="W556" s="1"/>
      <c r="X556" s="1"/>
    </row>
    <row r="557" spans="2:24" ht="9.75" customHeight="1" x14ac:dyDescent="0.4">
      <c r="C557" s="17"/>
      <c r="D557" s="17" t="s">
        <v>308</v>
      </c>
      <c r="E557" s="17"/>
      <c r="F557" s="32"/>
      <c r="G557" s="6"/>
      <c r="H557" s="6"/>
      <c r="I557" s="6"/>
      <c r="J557" s="6"/>
      <c r="K557" s="6"/>
      <c r="L557" s="6"/>
      <c r="M557" s="6"/>
      <c r="N557" s="6"/>
      <c r="O557" s="31"/>
      <c r="P557" s="32"/>
      <c r="Q557" s="6"/>
      <c r="R557" s="59"/>
      <c r="T557" s="182"/>
      <c r="U557" s="182"/>
      <c r="V557" s="1"/>
      <c r="W557" s="1"/>
      <c r="X557" s="1"/>
    </row>
    <row r="558" spans="2:24" ht="9.75" customHeight="1" x14ac:dyDescent="0.4">
      <c r="C558" s="17"/>
      <c r="D558" s="17" t="s">
        <v>377</v>
      </c>
      <c r="E558" s="17"/>
      <c r="F558" s="32"/>
      <c r="G558" s="6"/>
      <c r="H558" s="6"/>
      <c r="I558" s="6"/>
      <c r="J558" s="6"/>
      <c r="K558" s="74"/>
      <c r="L558" s="74"/>
      <c r="M558" s="74"/>
      <c r="N558" s="74"/>
      <c r="O558" s="74"/>
      <c r="P558" s="32"/>
      <c r="Q558" s="6"/>
      <c r="R558" s="59"/>
      <c r="T558" s="182"/>
      <c r="U558" s="182"/>
      <c r="V558" s="1"/>
      <c r="W558" s="1"/>
      <c r="X558" s="1"/>
    </row>
    <row r="559" spans="2:24" ht="9.75" customHeight="1" x14ac:dyDescent="0.4">
      <c r="C559" s="17"/>
      <c r="D559" s="17" t="s">
        <v>511</v>
      </c>
      <c r="E559" s="17">
        <v>21</v>
      </c>
      <c r="F559" s="32">
        <v>21</v>
      </c>
      <c r="G559" s="6">
        <v>21</v>
      </c>
      <c r="H559" s="6">
        <v>21</v>
      </c>
      <c r="I559" s="6">
        <v>20</v>
      </c>
      <c r="J559" s="6">
        <v>14</v>
      </c>
      <c r="K559" s="6">
        <f>E559-10</f>
        <v>11</v>
      </c>
      <c r="L559" s="6">
        <f>E559-7</f>
        <v>14</v>
      </c>
      <c r="M559" s="6">
        <f>E559-6</f>
        <v>15</v>
      </c>
      <c r="N559" s="6">
        <f>E559-4</f>
        <v>17</v>
      </c>
      <c r="O559" s="31">
        <f>E559-4</f>
        <v>17</v>
      </c>
      <c r="P559" s="32">
        <f t="shared" ref="P559:P560" si="103">MIN(F559:O559)</f>
        <v>11</v>
      </c>
      <c r="Q559" s="6">
        <f t="shared" ref="Q559:Q560" si="104">E559-P559</f>
        <v>10</v>
      </c>
      <c r="R559" s="59">
        <f t="shared" ref="R559:R560" si="105">Q559/E559</f>
        <v>0.47619047619047616</v>
      </c>
      <c r="T559" s="182"/>
      <c r="U559" s="182"/>
      <c r="V559" s="1"/>
      <c r="W559" s="1"/>
      <c r="X559" s="1"/>
    </row>
    <row r="560" spans="2:24" ht="9.75" customHeight="1" x14ac:dyDescent="0.4">
      <c r="C560" s="17"/>
      <c r="D560" s="17" t="s">
        <v>372</v>
      </c>
      <c r="E560" s="17">
        <v>12</v>
      </c>
      <c r="F560" s="32">
        <v>2</v>
      </c>
      <c r="G560" s="6">
        <v>2</v>
      </c>
      <c r="H560" s="6">
        <v>1</v>
      </c>
      <c r="I560" s="6">
        <v>1</v>
      </c>
      <c r="J560" s="6">
        <v>1</v>
      </c>
      <c r="K560" s="6">
        <v>1</v>
      </c>
      <c r="L560" s="6">
        <v>0</v>
      </c>
      <c r="M560" s="6">
        <v>0</v>
      </c>
      <c r="N560" s="6">
        <v>1</v>
      </c>
      <c r="O560" s="31">
        <v>4</v>
      </c>
      <c r="P560" s="32">
        <f t="shared" si="103"/>
        <v>0</v>
      </c>
      <c r="Q560" s="6">
        <f t="shared" si="104"/>
        <v>12</v>
      </c>
      <c r="R560" s="59">
        <f t="shared" si="105"/>
        <v>1</v>
      </c>
      <c r="T560" s="182"/>
      <c r="U560" s="182"/>
      <c r="V560" s="1"/>
      <c r="W560" s="1"/>
      <c r="X560" s="1"/>
    </row>
    <row r="561" spans="2:24" ht="9.75" customHeight="1" x14ac:dyDescent="0.4">
      <c r="C561" s="17"/>
      <c r="D561" s="17" t="s">
        <v>374</v>
      </c>
      <c r="E561" s="17"/>
      <c r="F561" s="32"/>
      <c r="G561" s="6"/>
      <c r="H561" s="6"/>
      <c r="I561" s="6"/>
      <c r="J561" s="6"/>
      <c r="K561" s="6"/>
      <c r="L561" s="6"/>
      <c r="M561" s="6"/>
      <c r="N561" s="6"/>
      <c r="O561" s="31"/>
      <c r="P561" s="32"/>
      <c r="Q561" s="6"/>
      <c r="R561" s="59"/>
      <c r="T561" s="182"/>
      <c r="U561" s="182"/>
      <c r="V561" s="1"/>
      <c r="W561" s="1"/>
      <c r="X561" s="1"/>
    </row>
    <row r="562" spans="2:24" ht="9.75" customHeight="1" x14ac:dyDescent="0.4">
      <c r="C562" s="17"/>
      <c r="D562" s="17" t="s">
        <v>374</v>
      </c>
      <c r="E562" s="17"/>
      <c r="F562" s="32"/>
      <c r="G562" s="6"/>
      <c r="H562" s="6"/>
      <c r="I562" s="6"/>
      <c r="J562" s="6"/>
      <c r="K562" s="6"/>
      <c r="L562" s="6"/>
      <c r="M562" s="6"/>
      <c r="N562" s="6"/>
      <c r="O562" s="31"/>
      <c r="P562" s="32"/>
      <c r="Q562" s="6"/>
      <c r="R562" s="59"/>
      <c r="T562" s="182"/>
      <c r="U562" s="182"/>
      <c r="V562" s="1"/>
      <c r="W562" s="1"/>
      <c r="X562" s="1"/>
    </row>
    <row r="563" spans="2:24" ht="9.75" customHeight="1" x14ac:dyDescent="0.4">
      <c r="C563" s="17"/>
      <c r="D563" s="17" t="s">
        <v>374</v>
      </c>
      <c r="E563" s="17"/>
      <c r="F563" s="32"/>
      <c r="G563" s="6"/>
      <c r="H563" s="6"/>
      <c r="I563" s="6"/>
      <c r="J563" s="6"/>
      <c r="K563" s="6"/>
      <c r="L563" s="6"/>
      <c r="M563" s="6"/>
      <c r="N563" s="6"/>
      <c r="O563" s="31"/>
      <c r="P563" s="32"/>
      <c r="Q563" s="6"/>
      <c r="R563" s="59"/>
      <c r="T563" s="182"/>
      <c r="U563" s="182"/>
      <c r="V563" s="1"/>
      <c r="W563" s="1"/>
      <c r="X563" s="1"/>
    </row>
    <row r="564" spans="2:24" ht="9.75" customHeight="1" x14ac:dyDescent="0.4">
      <c r="C564" s="17"/>
      <c r="D564" s="17" t="s">
        <v>310</v>
      </c>
      <c r="E564" s="17">
        <v>8</v>
      </c>
      <c r="F564" s="32">
        <v>8</v>
      </c>
      <c r="G564" s="6">
        <v>7</v>
      </c>
      <c r="H564" s="6">
        <v>7</v>
      </c>
      <c r="I564" s="6">
        <v>8</v>
      </c>
      <c r="J564" s="6">
        <v>8</v>
      </c>
      <c r="K564" s="6">
        <v>8</v>
      </c>
      <c r="L564" s="6">
        <v>6</v>
      </c>
      <c r="M564" s="6">
        <v>7</v>
      </c>
      <c r="N564" s="6">
        <v>8</v>
      </c>
      <c r="O564" s="31">
        <v>8</v>
      </c>
      <c r="P564" s="32">
        <f>MIN(F564:O564)</f>
        <v>6</v>
      </c>
      <c r="Q564" s="6">
        <f>E564-P564</f>
        <v>2</v>
      </c>
      <c r="R564" s="59">
        <f>Q564/E564</f>
        <v>0.25</v>
      </c>
      <c r="T564" s="182"/>
      <c r="U564" s="182"/>
      <c r="V564" s="1"/>
      <c r="W564" s="1"/>
      <c r="X564" s="1"/>
    </row>
    <row r="565" spans="2:24" ht="9.75" customHeight="1" x14ac:dyDescent="0.4">
      <c r="C565" s="17"/>
      <c r="D565" s="17" t="s">
        <v>311</v>
      </c>
      <c r="E565" s="17"/>
      <c r="F565" s="32"/>
      <c r="G565" s="6"/>
      <c r="H565" s="6"/>
      <c r="I565" s="6"/>
      <c r="J565" s="6"/>
      <c r="K565" s="6"/>
      <c r="L565" s="6"/>
      <c r="M565" s="6"/>
      <c r="N565" s="6"/>
      <c r="O565" s="31"/>
      <c r="P565" s="32"/>
      <c r="Q565" s="6"/>
      <c r="R565" s="59"/>
      <c r="T565" s="182"/>
      <c r="U565" s="182"/>
      <c r="V565" s="1"/>
      <c r="W565" s="1"/>
      <c r="X565" s="1"/>
    </row>
    <row r="566" spans="2:24" ht="9.75" customHeight="1" x14ac:dyDescent="0.4">
      <c r="C566" s="17"/>
      <c r="D566" s="17" t="s">
        <v>312</v>
      </c>
      <c r="E566" s="17"/>
      <c r="F566" s="32"/>
      <c r="G566" s="6"/>
      <c r="H566" s="6"/>
      <c r="I566" s="6"/>
      <c r="J566" s="6"/>
      <c r="K566" s="6"/>
      <c r="L566" s="6"/>
      <c r="M566" s="6"/>
      <c r="N566" s="6"/>
      <c r="O566" s="31"/>
      <c r="P566" s="32"/>
      <c r="Q566" s="6"/>
      <c r="R566" s="59"/>
      <c r="T566" s="182"/>
      <c r="U566" s="182"/>
      <c r="V566" s="1"/>
      <c r="W566" s="1"/>
      <c r="X566" s="1"/>
    </row>
    <row r="567" spans="2:24" ht="9.75" customHeight="1" x14ac:dyDescent="0.4">
      <c r="C567" s="17"/>
      <c r="D567" s="17" t="s">
        <v>313</v>
      </c>
      <c r="E567" s="17"/>
      <c r="F567" s="32"/>
      <c r="G567" s="6"/>
      <c r="H567" s="6"/>
      <c r="I567" s="6"/>
      <c r="J567" s="6"/>
      <c r="K567" s="6"/>
      <c r="L567" s="6"/>
      <c r="M567" s="6"/>
      <c r="N567" s="6"/>
      <c r="O567" s="31"/>
      <c r="P567" s="32"/>
      <c r="Q567" s="6"/>
      <c r="R567" s="59"/>
      <c r="T567" s="182"/>
      <c r="U567" s="182"/>
      <c r="V567" s="1"/>
      <c r="W567" s="1"/>
      <c r="X567" s="1"/>
    </row>
    <row r="568" spans="2:24" ht="9.75" customHeight="1" x14ac:dyDescent="0.4">
      <c r="B568" s="219" t="s">
        <v>395</v>
      </c>
      <c r="C568" s="34"/>
      <c r="D568" s="104" t="s">
        <v>314</v>
      </c>
      <c r="E568" s="104">
        <f t="shared" ref="E568:O568" si="106">SUM(E552:E567)</f>
        <v>233</v>
      </c>
      <c r="F568" s="104">
        <f t="shared" si="106"/>
        <v>45</v>
      </c>
      <c r="G568" s="128">
        <f t="shared" si="106"/>
        <v>35</v>
      </c>
      <c r="H568" s="128">
        <f t="shared" si="106"/>
        <v>29</v>
      </c>
      <c r="I568" s="128">
        <f t="shared" si="106"/>
        <v>31</v>
      </c>
      <c r="J568" s="128">
        <f t="shared" si="106"/>
        <v>31</v>
      </c>
      <c r="K568" s="128">
        <f t="shared" si="106"/>
        <v>24</v>
      </c>
      <c r="L568" s="128">
        <f t="shared" si="106"/>
        <v>25</v>
      </c>
      <c r="M568" s="128">
        <f t="shared" si="106"/>
        <v>45</v>
      </c>
      <c r="N568" s="128">
        <f t="shared" si="106"/>
        <v>94</v>
      </c>
      <c r="O568" s="129">
        <f t="shared" si="106"/>
        <v>152</v>
      </c>
      <c r="P568" s="128">
        <f>MIN(F568:O568)</f>
        <v>24</v>
      </c>
      <c r="Q568" s="128">
        <f>E568-P568</f>
        <v>209</v>
      </c>
      <c r="R568" s="72">
        <f>Q568/E568</f>
        <v>0.89699570815450647</v>
      </c>
      <c r="T568" s="182"/>
      <c r="U568" s="182"/>
      <c r="V568" s="1"/>
      <c r="W568" s="1"/>
      <c r="X568" s="1"/>
    </row>
    <row r="569" spans="2:24" ht="9.75" customHeight="1" x14ac:dyDescent="0.4">
      <c r="C569" s="15" t="s">
        <v>153</v>
      </c>
      <c r="D569" s="15" t="s">
        <v>300</v>
      </c>
      <c r="E569" s="17"/>
      <c r="F569" s="32"/>
      <c r="G569" s="6"/>
      <c r="H569" s="6"/>
      <c r="I569" s="6"/>
      <c r="J569" s="6"/>
      <c r="K569" s="6"/>
      <c r="L569" s="6"/>
      <c r="M569" s="6"/>
      <c r="N569" s="6"/>
      <c r="O569" s="31"/>
      <c r="P569" s="32"/>
      <c r="Q569" s="6"/>
      <c r="R569" s="59"/>
      <c r="T569" s="182"/>
      <c r="U569" s="182"/>
      <c r="V569" s="1"/>
      <c r="W569" s="1"/>
      <c r="X569" s="1"/>
    </row>
    <row r="570" spans="2:24" ht="9.75" customHeight="1" x14ac:dyDescent="0.4">
      <c r="C570" s="17"/>
      <c r="D570" s="17" t="s">
        <v>301</v>
      </c>
      <c r="E570" s="17">
        <f>137+61</f>
        <v>198</v>
      </c>
      <c r="F570" s="32">
        <f>33+19</f>
        <v>52</v>
      </c>
      <c r="G570" s="6">
        <f>38+19</f>
        <v>57</v>
      </c>
      <c r="H570" s="6">
        <f>21+13</f>
        <v>34</v>
      </c>
      <c r="I570" s="6">
        <f>14+10</f>
        <v>24</v>
      </c>
      <c r="J570" s="6">
        <f>12+10</f>
        <v>22</v>
      </c>
      <c r="K570" s="6">
        <f>6+12</f>
        <v>18</v>
      </c>
      <c r="L570" s="6">
        <f>12+5</f>
        <v>17</v>
      </c>
      <c r="M570" s="6">
        <f>16+8</f>
        <v>24</v>
      </c>
      <c r="N570" s="6">
        <f>33+16</f>
        <v>49</v>
      </c>
      <c r="O570" s="31">
        <f>57+21</f>
        <v>78</v>
      </c>
      <c r="P570" s="32">
        <f>MIN(F570:O570)</f>
        <v>17</v>
      </c>
      <c r="Q570" s="6">
        <f>E570-P570</f>
        <v>181</v>
      </c>
      <c r="R570" s="59">
        <f>Q570/E570</f>
        <v>0.91414141414141414</v>
      </c>
      <c r="T570" s="182"/>
      <c r="U570" s="182"/>
      <c r="V570" s="1"/>
      <c r="W570" s="1"/>
      <c r="X570" s="1"/>
    </row>
    <row r="571" spans="2:24" ht="9.75" customHeight="1" x14ac:dyDescent="0.4">
      <c r="C571" s="17"/>
      <c r="D571" s="17" t="s">
        <v>303</v>
      </c>
      <c r="E571" s="17"/>
      <c r="F571" s="32"/>
      <c r="G571" s="6"/>
      <c r="H571" s="6"/>
      <c r="I571" s="6"/>
      <c r="J571" s="6"/>
      <c r="K571" s="6"/>
      <c r="L571" s="6"/>
      <c r="M571" s="6"/>
      <c r="N571" s="6"/>
      <c r="O571" s="31"/>
      <c r="P571" s="32"/>
      <c r="Q571" s="6"/>
      <c r="R571" s="59"/>
      <c r="T571" s="182"/>
      <c r="U571" s="182"/>
      <c r="V571" s="1"/>
      <c r="W571" s="1"/>
      <c r="X571" s="1"/>
    </row>
    <row r="572" spans="2:24" ht="9.75" customHeight="1" x14ac:dyDescent="0.4">
      <c r="C572" s="17"/>
      <c r="D572" s="17" t="s">
        <v>434</v>
      </c>
      <c r="E572" s="17"/>
      <c r="F572" s="32"/>
      <c r="G572" s="6"/>
      <c r="H572" s="6"/>
      <c r="I572" s="6"/>
      <c r="J572" s="6"/>
      <c r="K572" s="6"/>
      <c r="L572" s="6"/>
      <c r="M572" s="6"/>
      <c r="N572" s="6"/>
      <c r="O572" s="31"/>
      <c r="P572" s="32"/>
      <c r="Q572" s="6"/>
      <c r="R572" s="59"/>
      <c r="T572" s="182"/>
      <c r="U572" s="182"/>
      <c r="V572" s="1"/>
      <c r="W572" s="1"/>
      <c r="X572" s="1"/>
    </row>
    <row r="573" spans="2:24" ht="9.75" customHeight="1" x14ac:dyDescent="0.4">
      <c r="C573" s="17"/>
      <c r="D573" s="17" t="s">
        <v>369</v>
      </c>
      <c r="E573" s="17"/>
      <c r="F573" s="32"/>
      <c r="G573" s="6"/>
      <c r="H573" s="6"/>
      <c r="I573" s="6"/>
      <c r="J573" s="6"/>
      <c r="K573" s="6"/>
      <c r="L573" s="6"/>
      <c r="M573" s="6"/>
      <c r="N573" s="6"/>
      <c r="O573" s="31"/>
      <c r="P573" s="32"/>
      <c r="Q573" s="6"/>
      <c r="R573" s="59"/>
      <c r="T573" s="182"/>
      <c r="U573" s="182"/>
      <c r="V573" s="1"/>
      <c r="W573" s="1"/>
      <c r="X573" s="1"/>
    </row>
    <row r="574" spans="2:24" ht="9.75" customHeight="1" x14ac:dyDescent="0.4">
      <c r="C574" s="17"/>
      <c r="D574" s="17" t="s">
        <v>308</v>
      </c>
      <c r="E574" s="17"/>
      <c r="F574" s="32"/>
      <c r="G574" s="6"/>
      <c r="H574" s="6"/>
      <c r="I574" s="6"/>
      <c r="J574" s="6"/>
      <c r="K574" s="6"/>
      <c r="L574" s="6"/>
      <c r="M574" s="6"/>
      <c r="N574" s="6"/>
      <c r="O574" s="31"/>
      <c r="P574" s="32"/>
      <c r="Q574" s="6"/>
      <c r="R574" s="59"/>
      <c r="T574" s="182"/>
      <c r="U574" s="182"/>
      <c r="V574" s="1"/>
      <c r="W574" s="1"/>
      <c r="X574" s="1"/>
    </row>
    <row r="575" spans="2:24" ht="9.75" customHeight="1" x14ac:dyDescent="0.4">
      <c r="C575" s="17"/>
      <c r="D575" s="17" t="s">
        <v>372</v>
      </c>
      <c r="E575" s="17">
        <v>6</v>
      </c>
      <c r="F575" s="32">
        <v>3</v>
      </c>
      <c r="G575" s="6">
        <v>2</v>
      </c>
      <c r="H575" s="6">
        <v>1</v>
      </c>
      <c r="I575" s="6">
        <v>3</v>
      </c>
      <c r="J575" s="6">
        <v>3</v>
      </c>
      <c r="K575" s="6">
        <v>2</v>
      </c>
      <c r="L575" s="6">
        <v>2</v>
      </c>
      <c r="M575" s="6">
        <v>2</v>
      </c>
      <c r="N575" s="6">
        <v>2</v>
      </c>
      <c r="O575" s="31">
        <v>3</v>
      </c>
      <c r="P575" s="32">
        <f>MIN(F575:O575)</f>
        <v>1</v>
      </c>
      <c r="Q575" s="6">
        <f>E575-P575</f>
        <v>5</v>
      </c>
      <c r="R575" s="59">
        <f>Q575/E575</f>
        <v>0.83333333333333337</v>
      </c>
      <c r="T575" s="182"/>
      <c r="U575" s="182"/>
      <c r="V575" s="1"/>
      <c r="W575" s="1"/>
      <c r="X575" s="1"/>
    </row>
    <row r="576" spans="2:24" ht="9.75" customHeight="1" x14ac:dyDescent="0.4">
      <c r="C576" s="17"/>
      <c r="D576" s="17" t="s">
        <v>377</v>
      </c>
      <c r="E576" s="17"/>
      <c r="F576" s="32"/>
      <c r="G576" s="6"/>
      <c r="H576" s="6"/>
      <c r="I576" s="6"/>
      <c r="J576" s="6"/>
      <c r="K576" s="6"/>
      <c r="L576" s="6"/>
      <c r="M576" s="6"/>
      <c r="N576" s="6"/>
      <c r="O576" s="31"/>
      <c r="P576" s="32"/>
      <c r="Q576" s="6"/>
      <c r="R576" s="59"/>
      <c r="T576" s="182"/>
      <c r="U576" s="182"/>
      <c r="V576" s="1"/>
      <c r="W576" s="1"/>
      <c r="X576" s="1"/>
    </row>
    <row r="577" spans="2:24" ht="9.75" customHeight="1" x14ac:dyDescent="0.4">
      <c r="C577" s="17"/>
      <c r="D577" s="17" t="s">
        <v>374</v>
      </c>
      <c r="E577" s="17"/>
      <c r="F577" s="32"/>
      <c r="G577" s="6"/>
      <c r="H577" s="6"/>
      <c r="I577" s="6"/>
      <c r="J577" s="6"/>
      <c r="K577" s="6"/>
      <c r="L577" s="6"/>
      <c r="M577" s="6"/>
      <c r="N577" s="6"/>
      <c r="O577" s="31"/>
      <c r="P577" s="32"/>
      <c r="Q577" s="6"/>
      <c r="R577" s="59"/>
      <c r="T577" s="182"/>
      <c r="U577" s="182"/>
      <c r="V577" s="1"/>
      <c r="W577" s="1"/>
      <c r="X577" s="1"/>
    </row>
    <row r="578" spans="2:24" ht="9.75" customHeight="1" x14ac:dyDescent="0.4">
      <c r="C578" s="17"/>
      <c r="D578" s="17" t="s">
        <v>374</v>
      </c>
      <c r="E578" s="17"/>
      <c r="F578" s="32"/>
      <c r="G578" s="6"/>
      <c r="H578" s="6"/>
      <c r="I578" s="6"/>
      <c r="J578" s="6"/>
      <c r="K578" s="6"/>
      <c r="L578" s="6"/>
      <c r="M578" s="6"/>
      <c r="N578" s="6"/>
      <c r="O578" s="31"/>
      <c r="P578" s="32"/>
      <c r="Q578" s="6"/>
      <c r="R578" s="59"/>
      <c r="T578" s="182"/>
      <c r="U578" s="182"/>
      <c r="V578" s="1"/>
      <c r="W578" s="1"/>
      <c r="X578" s="1"/>
    </row>
    <row r="579" spans="2:24" ht="9.75" customHeight="1" x14ac:dyDescent="0.4">
      <c r="C579" s="17"/>
      <c r="D579" s="17" t="s">
        <v>374</v>
      </c>
      <c r="E579" s="17"/>
      <c r="F579" s="32"/>
      <c r="G579" s="6"/>
      <c r="H579" s="6"/>
      <c r="I579" s="6"/>
      <c r="J579" s="6"/>
      <c r="K579" s="6"/>
      <c r="L579" s="6"/>
      <c r="M579" s="6"/>
      <c r="N579" s="6"/>
      <c r="O579" s="31"/>
      <c r="P579" s="32"/>
      <c r="Q579" s="6"/>
      <c r="R579" s="59"/>
      <c r="T579" s="182"/>
      <c r="U579" s="182"/>
      <c r="V579" s="1"/>
      <c r="W579" s="1"/>
      <c r="X579" s="1"/>
    </row>
    <row r="580" spans="2:24" ht="9.75" customHeight="1" x14ac:dyDescent="0.4">
      <c r="C580" s="17"/>
      <c r="D580" s="17" t="s">
        <v>374</v>
      </c>
      <c r="E580" s="17"/>
      <c r="F580" s="32"/>
      <c r="G580" s="6"/>
      <c r="H580" s="6"/>
      <c r="I580" s="6"/>
      <c r="J580" s="6"/>
      <c r="K580" s="6"/>
      <c r="L580" s="6"/>
      <c r="M580" s="6"/>
      <c r="N580" s="6"/>
      <c r="O580" s="31"/>
      <c r="P580" s="32"/>
      <c r="Q580" s="6"/>
      <c r="R580" s="59"/>
      <c r="T580" s="182"/>
      <c r="U580" s="182"/>
      <c r="V580" s="1"/>
      <c r="W580" s="1"/>
      <c r="X580" s="1"/>
    </row>
    <row r="581" spans="2:24" ht="9.75" customHeight="1" x14ac:dyDescent="0.4">
      <c r="C581" s="17"/>
      <c r="D581" s="17" t="s">
        <v>310</v>
      </c>
      <c r="E581" s="17">
        <v>6</v>
      </c>
      <c r="F581" s="32">
        <v>6</v>
      </c>
      <c r="G581" s="6">
        <v>6</v>
      </c>
      <c r="H581" s="6">
        <v>6</v>
      </c>
      <c r="I581" s="6">
        <v>6</v>
      </c>
      <c r="J581" s="6">
        <v>6</v>
      </c>
      <c r="K581" s="6">
        <v>6</v>
      </c>
      <c r="L581" s="6">
        <v>6</v>
      </c>
      <c r="M581" s="6">
        <v>6</v>
      </c>
      <c r="N581" s="6">
        <v>6</v>
      </c>
      <c r="O581" s="31">
        <v>6</v>
      </c>
      <c r="P581" s="32">
        <f>MIN(F581:O581)</f>
        <v>6</v>
      </c>
      <c r="Q581" s="6">
        <f>E581-P581</f>
        <v>0</v>
      </c>
      <c r="R581" s="59">
        <f>Q581/E581</f>
        <v>0</v>
      </c>
      <c r="T581" s="182"/>
      <c r="U581" s="182"/>
      <c r="V581" s="1"/>
      <c r="W581" s="1"/>
      <c r="X581" s="1"/>
    </row>
    <row r="582" spans="2:24" ht="9.75" customHeight="1" x14ac:dyDescent="0.4">
      <c r="C582" s="17"/>
      <c r="D582" s="17" t="s">
        <v>311</v>
      </c>
      <c r="E582" s="17"/>
      <c r="F582" s="32"/>
      <c r="G582" s="6"/>
      <c r="H582" s="6"/>
      <c r="I582" s="6"/>
      <c r="J582" s="6"/>
      <c r="K582" s="6"/>
      <c r="L582" s="6"/>
      <c r="M582" s="6"/>
      <c r="N582" s="6"/>
      <c r="O582" s="31"/>
      <c r="P582" s="32"/>
      <c r="Q582" s="6"/>
      <c r="R582" s="59"/>
      <c r="T582" s="182"/>
      <c r="U582" s="182"/>
      <c r="V582" s="1"/>
      <c r="W582" s="1"/>
      <c r="X582" s="1"/>
    </row>
    <row r="583" spans="2:24" ht="9.75" customHeight="1" x14ac:dyDescent="0.4">
      <c r="C583" s="17"/>
      <c r="D583" s="17" t="s">
        <v>312</v>
      </c>
      <c r="E583" s="17"/>
      <c r="F583" s="32"/>
      <c r="G583" s="6"/>
      <c r="H583" s="6"/>
      <c r="I583" s="6"/>
      <c r="J583" s="6"/>
      <c r="K583" s="6"/>
      <c r="L583" s="6"/>
      <c r="M583" s="6"/>
      <c r="N583" s="6"/>
      <c r="O583" s="31"/>
      <c r="P583" s="32"/>
      <c r="Q583" s="6"/>
      <c r="R583" s="59"/>
      <c r="T583" s="182"/>
      <c r="U583" s="182"/>
      <c r="V583" s="1"/>
      <c r="W583" s="1"/>
      <c r="X583" s="1"/>
    </row>
    <row r="584" spans="2:24" ht="9.75" customHeight="1" x14ac:dyDescent="0.4">
      <c r="C584" s="17"/>
      <c r="D584" s="17" t="s">
        <v>313</v>
      </c>
      <c r="E584" s="17"/>
      <c r="F584" s="32"/>
      <c r="G584" s="6"/>
      <c r="H584" s="6"/>
      <c r="I584" s="6"/>
      <c r="J584" s="6"/>
      <c r="K584" s="6"/>
      <c r="L584" s="6"/>
      <c r="M584" s="6"/>
      <c r="N584" s="6"/>
      <c r="O584" s="31"/>
      <c r="P584" s="32"/>
      <c r="Q584" s="6"/>
      <c r="R584" s="59"/>
      <c r="T584" s="182"/>
      <c r="U584" s="182"/>
      <c r="V584" s="1"/>
      <c r="W584" s="1"/>
      <c r="X584" s="1"/>
    </row>
    <row r="585" spans="2:24" ht="9.75" customHeight="1" x14ac:dyDescent="0.4">
      <c r="B585" s="219" t="s">
        <v>395</v>
      </c>
      <c r="C585" s="34"/>
      <c r="D585" s="104" t="s">
        <v>314</v>
      </c>
      <c r="E585" s="104">
        <f t="shared" ref="E585:O585" si="107">SUM(E569:E584)</f>
        <v>210</v>
      </c>
      <c r="F585" s="104">
        <f t="shared" si="107"/>
        <v>61</v>
      </c>
      <c r="G585" s="128">
        <f t="shared" si="107"/>
        <v>65</v>
      </c>
      <c r="H585" s="128">
        <f t="shared" si="107"/>
        <v>41</v>
      </c>
      <c r="I585" s="128">
        <f t="shared" si="107"/>
        <v>33</v>
      </c>
      <c r="J585" s="128">
        <f t="shared" si="107"/>
        <v>31</v>
      </c>
      <c r="K585" s="128">
        <f t="shared" si="107"/>
        <v>26</v>
      </c>
      <c r="L585" s="128">
        <f t="shared" si="107"/>
        <v>25</v>
      </c>
      <c r="M585" s="128">
        <f t="shared" si="107"/>
        <v>32</v>
      </c>
      <c r="N585" s="128">
        <f t="shared" si="107"/>
        <v>57</v>
      </c>
      <c r="O585" s="129">
        <f t="shared" si="107"/>
        <v>87</v>
      </c>
      <c r="P585" s="128">
        <f>MIN(F585:O585)</f>
        <v>25</v>
      </c>
      <c r="Q585" s="128">
        <f>E585-P585</f>
        <v>185</v>
      </c>
      <c r="R585" s="72">
        <f>Q585/E585</f>
        <v>0.88095238095238093</v>
      </c>
      <c r="T585" s="182"/>
      <c r="U585" s="182"/>
      <c r="V585" s="1"/>
      <c r="W585" s="1"/>
      <c r="X585" s="1"/>
    </row>
    <row r="586" spans="2:24" ht="9.75" customHeight="1" x14ac:dyDescent="0.4">
      <c r="C586" s="15" t="s">
        <v>167</v>
      </c>
      <c r="D586" s="15" t="s">
        <v>300</v>
      </c>
      <c r="E586" s="17"/>
      <c r="F586" s="32"/>
      <c r="G586" s="6"/>
      <c r="H586" s="6"/>
      <c r="I586" s="6"/>
      <c r="J586" s="6"/>
      <c r="K586" s="6"/>
      <c r="L586" s="6"/>
      <c r="M586" s="6"/>
      <c r="N586" s="6"/>
      <c r="O586" s="31"/>
      <c r="P586" s="32"/>
      <c r="Q586" s="6"/>
      <c r="R586" s="59"/>
      <c r="T586" s="182"/>
      <c r="U586" s="182"/>
      <c r="V586" s="1"/>
      <c r="W586" s="1"/>
      <c r="X586" s="1"/>
    </row>
    <row r="587" spans="2:24" ht="9.75" customHeight="1" x14ac:dyDescent="0.4">
      <c r="C587" s="17"/>
      <c r="D587" s="17" t="s">
        <v>301</v>
      </c>
      <c r="E587" s="17">
        <v>68</v>
      </c>
      <c r="F587" s="32">
        <v>2</v>
      </c>
      <c r="G587" s="6">
        <v>7</v>
      </c>
      <c r="H587" s="6">
        <v>9</v>
      </c>
      <c r="I587" s="6">
        <v>11</v>
      </c>
      <c r="J587" s="6">
        <v>5</v>
      </c>
      <c r="K587" s="6">
        <v>5</v>
      </c>
      <c r="L587" s="6">
        <v>7</v>
      </c>
      <c r="M587" s="6">
        <v>5</v>
      </c>
      <c r="N587" s="6">
        <v>12</v>
      </c>
      <c r="O587" s="31">
        <v>16</v>
      </c>
      <c r="P587" s="32">
        <f>MIN(F587:O587)</f>
        <v>2</v>
      </c>
      <c r="Q587" s="6">
        <f>E587-P587</f>
        <v>66</v>
      </c>
      <c r="R587" s="59">
        <f>Q587/E587</f>
        <v>0.97058823529411764</v>
      </c>
      <c r="T587" s="182"/>
      <c r="U587" s="182"/>
      <c r="V587" s="1"/>
      <c r="W587" s="1"/>
      <c r="X587" s="1"/>
    </row>
    <row r="588" spans="2:24" ht="9.75" customHeight="1" x14ac:dyDescent="0.4">
      <c r="C588" s="17"/>
      <c r="D588" s="17" t="s">
        <v>303</v>
      </c>
      <c r="E588" s="17"/>
      <c r="F588" s="32"/>
      <c r="G588" s="6"/>
      <c r="H588" s="6"/>
      <c r="I588" s="6"/>
      <c r="J588" s="6"/>
      <c r="K588" s="6"/>
      <c r="L588" s="6"/>
      <c r="M588" s="6"/>
      <c r="N588" s="6"/>
      <c r="O588" s="31"/>
      <c r="P588" s="32"/>
      <c r="Q588" s="6"/>
      <c r="R588" s="59"/>
      <c r="T588" s="182"/>
      <c r="U588" s="182"/>
      <c r="V588" s="1"/>
      <c r="W588" s="1"/>
      <c r="X588" s="1"/>
    </row>
    <row r="589" spans="2:24" ht="9.75" customHeight="1" x14ac:dyDescent="0.4">
      <c r="C589" s="17"/>
      <c r="D589" s="17" t="s">
        <v>434</v>
      </c>
      <c r="E589" s="17"/>
      <c r="F589" s="32"/>
      <c r="G589" s="6"/>
      <c r="H589" s="6"/>
      <c r="I589" s="6"/>
      <c r="J589" s="6"/>
      <c r="K589" s="6"/>
      <c r="L589" s="6"/>
      <c r="M589" s="6"/>
      <c r="N589" s="6"/>
      <c r="O589" s="31"/>
      <c r="P589" s="32"/>
      <c r="Q589" s="6"/>
      <c r="R589" s="59"/>
      <c r="T589" s="182"/>
      <c r="U589" s="182"/>
      <c r="V589" s="1"/>
      <c r="W589" s="1"/>
      <c r="X589" s="1"/>
    </row>
    <row r="590" spans="2:24" ht="9.75" customHeight="1" x14ac:dyDescent="0.4">
      <c r="C590" s="17"/>
      <c r="D590" s="17" t="s">
        <v>369</v>
      </c>
      <c r="E590" s="17"/>
      <c r="F590" s="32"/>
      <c r="G590" s="6"/>
      <c r="H590" s="6"/>
      <c r="I590" s="6"/>
      <c r="J590" s="6"/>
      <c r="K590" s="6"/>
      <c r="L590" s="6"/>
      <c r="M590" s="6"/>
      <c r="N590" s="6"/>
      <c r="O590" s="31"/>
      <c r="P590" s="32"/>
      <c r="Q590" s="6"/>
      <c r="R590" s="59"/>
      <c r="T590" s="182"/>
      <c r="U590" s="182"/>
      <c r="V590" s="1"/>
      <c r="W590" s="1"/>
      <c r="X590" s="1"/>
    </row>
    <row r="591" spans="2:24" ht="9.75" customHeight="1" x14ac:dyDescent="0.4">
      <c r="C591" s="17"/>
      <c r="D591" s="17" t="s">
        <v>308</v>
      </c>
      <c r="E591" s="17"/>
      <c r="F591" s="32"/>
      <c r="G591" s="6"/>
      <c r="H591" s="6"/>
      <c r="I591" s="6"/>
      <c r="J591" s="6"/>
      <c r="K591" s="6"/>
      <c r="L591" s="6"/>
      <c r="M591" s="6"/>
      <c r="N591" s="6"/>
      <c r="O591" s="31"/>
      <c r="P591" s="32"/>
      <c r="Q591" s="6"/>
      <c r="R591" s="59"/>
      <c r="T591" s="182"/>
      <c r="U591" s="182"/>
      <c r="V591" s="1"/>
      <c r="W591" s="1"/>
      <c r="X591" s="1"/>
    </row>
    <row r="592" spans="2:24" ht="9.75" customHeight="1" x14ac:dyDescent="0.4">
      <c r="C592" s="17"/>
      <c r="D592" s="17" t="s">
        <v>372</v>
      </c>
      <c r="E592" s="17">
        <v>8</v>
      </c>
      <c r="F592" s="32">
        <v>3</v>
      </c>
      <c r="G592" s="6">
        <v>3</v>
      </c>
      <c r="H592" s="6">
        <v>3</v>
      </c>
      <c r="I592" s="6">
        <v>3</v>
      </c>
      <c r="J592" s="6">
        <v>2</v>
      </c>
      <c r="K592" s="6">
        <v>3</v>
      </c>
      <c r="L592" s="6">
        <v>3</v>
      </c>
      <c r="M592" s="6">
        <v>2</v>
      </c>
      <c r="N592" s="6">
        <v>1</v>
      </c>
      <c r="O592" s="31">
        <v>0</v>
      </c>
      <c r="P592" s="32">
        <f>MIN(F592:O592)</f>
        <v>0</v>
      </c>
      <c r="Q592" s="6">
        <f>E592-P592</f>
        <v>8</v>
      </c>
      <c r="R592" s="59">
        <f>Q592/E592</f>
        <v>1</v>
      </c>
      <c r="T592" s="182"/>
      <c r="U592" s="182"/>
      <c r="V592" s="1"/>
      <c r="W592" s="1"/>
      <c r="X592" s="1"/>
    </row>
    <row r="593" spans="1:24" ht="9.75" customHeight="1" x14ac:dyDescent="0.4">
      <c r="C593" s="17"/>
      <c r="D593" s="17" t="s">
        <v>374</v>
      </c>
      <c r="E593" s="17"/>
      <c r="F593" s="32"/>
      <c r="G593" s="6"/>
      <c r="H593" s="6"/>
      <c r="I593" s="6"/>
      <c r="J593" s="6"/>
      <c r="K593" s="6"/>
      <c r="L593" s="6"/>
      <c r="M593" s="6"/>
      <c r="N593" s="6"/>
      <c r="O593" s="31"/>
      <c r="P593" s="32"/>
      <c r="Q593" s="6"/>
      <c r="R593" s="59"/>
      <c r="T593" s="182"/>
      <c r="U593" s="182"/>
      <c r="V593" s="1"/>
      <c r="W593" s="1"/>
      <c r="X593" s="1"/>
    </row>
    <row r="594" spans="1:24" ht="9.75" customHeight="1" x14ac:dyDescent="0.4">
      <c r="C594" s="17"/>
      <c r="D594" s="17" t="s">
        <v>374</v>
      </c>
      <c r="E594" s="17"/>
      <c r="F594" s="32"/>
      <c r="G594" s="6"/>
      <c r="H594" s="6"/>
      <c r="I594" s="6"/>
      <c r="J594" s="6"/>
      <c r="K594" s="6"/>
      <c r="L594" s="6"/>
      <c r="M594" s="6"/>
      <c r="N594" s="6"/>
      <c r="O594" s="31"/>
      <c r="P594" s="32"/>
      <c r="Q594" s="6"/>
      <c r="R594" s="59"/>
      <c r="T594" s="182"/>
      <c r="U594" s="182"/>
      <c r="V594" s="1"/>
      <c r="W594" s="1"/>
      <c r="X594" s="1"/>
    </row>
    <row r="595" spans="1:24" ht="9.75" customHeight="1" x14ac:dyDescent="0.4">
      <c r="C595" s="17"/>
      <c r="D595" s="17" t="s">
        <v>374</v>
      </c>
      <c r="E595" s="17"/>
      <c r="F595" s="32"/>
      <c r="G595" s="6"/>
      <c r="H595" s="6"/>
      <c r="I595" s="6"/>
      <c r="J595" s="6"/>
      <c r="K595" s="6"/>
      <c r="L595" s="6"/>
      <c r="M595" s="6"/>
      <c r="N595" s="6"/>
      <c r="O595" s="31"/>
      <c r="P595" s="32"/>
      <c r="Q595" s="6"/>
      <c r="R595" s="59"/>
      <c r="T595" s="182"/>
      <c r="U595" s="182"/>
      <c r="V595" s="1"/>
      <c r="W595" s="1"/>
      <c r="X595" s="1"/>
    </row>
    <row r="596" spans="1:24" ht="9.75" customHeight="1" x14ac:dyDescent="0.4">
      <c r="C596" s="17"/>
      <c r="D596" s="17" t="s">
        <v>374</v>
      </c>
      <c r="E596" s="17"/>
      <c r="F596" s="32"/>
      <c r="G596" s="6"/>
      <c r="H596" s="6"/>
      <c r="I596" s="6"/>
      <c r="J596" s="6"/>
      <c r="K596" s="6"/>
      <c r="L596" s="6"/>
      <c r="M596" s="6"/>
      <c r="N596" s="6"/>
      <c r="O596" s="31"/>
      <c r="P596" s="32"/>
      <c r="Q596" s="6"/>
      <c r="R596" s="59"/>
      <c r="T596" s="182"/>
      <c r="U596" s="182"/>
      <c r="V596" s="1"/>
      <c r="W596" s="1"/>
      <c r="X596" s="1"/>
    </row>
    <row r="597" spans="1:24" ht="9.75" customHeight="1" x14ac:dyDescent="0.4">
      <c r="C597" s="17"/>
      <c r="D597" s="17" t="s">
        <v>374</v>
      </c>
      <c r="E597" s="17"/>
      <c r="F597" s="32"/>
      <c r="G597" s="6"/>
      <c r="H597" s="6"/>
      <c r="I597" s="6"/>
      <c r="J597" s="6"/>
      <c r="K597" s="6"/>
      <c r="L597" s="6"/>
      <c r="M597" s="6"/>
      <c r="N597" s="6"/>
      <c r="O597" s="31"/>
      <c r="P597" s="32"/>
      <c r="Q597" s="6"/>
      <c r="R597" s="59"/>
      <c r="T597" s="182"/>
      <c r="U597" s="182"/>
      <c r="V597" s="1"/>
      <c r="W597" s="1"/>
      <c r="X597" s="1"/>
    </row>
    <row r="598" spans="1:24" ht="9.75" customHeight="1" x14ac:dyDescent="0.4">
      <c r="C598" s="17"/>
      <c r="D598" s="17" t="s">
        <v>310</v>
      </c>
      <c r="E598" s="17">
        <v>5</v>
      </c>
      <c r="F598" s="32">
        <v>5</v>
      </c>
      <c r="G598" s="6">
        <v>5</v>
      </c>
      <c r="H598" s="6">
        <v>5</v>
      </c>
      <c r="I598" s="6">
        <v>5</v>
      </c>
      <c r="J598" s="6">
        <v>5</v>
      </c>
      <c r="K598" s="6">
        <v>5</v>
      </c>
      <c r="L598" s="6">
        <v>5</v>
      </c>
      <c r="M598" s="6">
        <v>5</v>
      </c>
      <c r="N598" s="6">
        <v>5</v>
      </c>
      <c r="O598" s="31">
        <v>5</v>
      </c>
      <c r="P598" s="32">
        <f>MIN(F598:O598)</f>
        <v>5</v>
      </c>
      <c r="Q598" s="6">
        <f>E598-P598</f>
        <v>0</v>
      </c>
      <c r="R598" s="59">
        <f>Q598/E598</f>
        <v>0</v>
      </c>
      <c r="T598" s="182"/>
      <c r="U598" s="182"/>
      <c r="V598" s="1"/>
      <c r="W598" s="1"/>
      <c r="X598" s="1"/>
    </row>
    <row r="599" spans="1:24" ht="9.75" customHeight="1" x14ac:dyDescent="0.4">
      <c r="C599" s="17"/>
      <c r="D599" s="17" t="s">
        <v>311</v>
      </c>
      <c r="E599" s="17"/>
      <c r="F599" s="32"/>
      <c r="G599" s="6"/>
      <c r="H599" s="6"/>
      <c r="I599" s="6"/>
      <c r="J599" s="6"/>
      <c r="K599" s="6"/>
      <c r="L599" s="6"/>
      <c r="M599" s="6"/>
      <c r="N599" s="6"/>
      <c r="O599" s="31"/>
      <c r="P599" s="32"/>
      <c r="Q599" s="6"/>
      <c r="R599" s="59"/>
      <c r="T599" s="182"/>
      <c r="U599" s="182"/>
      <c r="V599" s="1"/>
      <c r="W599" s="1"/>
      <c r="X599" s="1"/>
    </row>
    <row r="600" spans="1:24" ht="9.75" customHeight="1" x14ac:dyDescent="0.4">
      <c r="C600" s="17"/>
      <c r="D600" s="17" t="s">
        <v>312</v>
      </c>
      <c r="E600" s="17"/>
      <c r="F600" s="32"/>
      <c r="G600" s="6"/>
      <c r="H600" s="6"/>
      <c r="I600" s="6"/>
      <c r="J600" s="6"/>
      <c r="K600" s="6"/>
      <c r="L600" s="6"/>
      <c r="M600" s="6"/>
      <c r="N600" s="6"/>
      <c r="O600" s="31"/>
      <c r="P600" s="32"/>
      <c r="Q600" s="6"/>
      <c r="R600" s="59"/>
      <c r="T600" s="182"/>
      <c r="U600" s="182"/>
      <c r="V600" s="1"/>
      <c r="W600" s="1"/>
      <c r="X600" s="1"/>
    </row>
    <row r="601" spans="1:24" ht="9.75" customHeight="1" x14ac:dyDescent="0.4">
      <c r="C601" s="17"/>
      <c r="D601" s="17" t="s">
        <v>313</v>
      </c>
      <c r="E601" s="17"/>
      <c r="F601" s="32"/>
      <c r="G601" s="6"/>
      <c r="H601" s="6"/>
      <c r="I601" s="6"/>
      <c r="J601" s="6"/>
      <c r="K601" s="6"/>
      <c r="L601" s="6"/>
      <c r="M601" s="6"/>
      <c r="N601" s="6"/>
      <c r="O601" s="31"/>
      <c r="P601" s="32"/>
      <c r="Q601" s="6"/>
      <c r="R601" s="59"/>
      <c r="T601" s="182"/>
      <c r="U601" s="182"/>
      <c r="V601" s="1"/>
      <c r="W601" s="1"/>
      <c r="X601" s="1"/>
    </row>
    <row r="602" spans="1:24" ht="9.75" customHeight="1" x14ac:dyDescent="0.4">
      <c r="B602" s="219" t="s">
        <v>395</v>
      </c>
      <c r="C602" s="34"/>
      <c r="D602" s="104" t="s">
        <v>314</v>
      </c>
      <c r="E602" s="104">
        <f t="shared" ref="E602:O602" si="108">SUM(E586:E601)</f>
        <v>81</v>
      </c>
      <c r="F602" s="104">
        <f t="shared" si="108"/>
        <v>10</v>
      </c>
      <c r="G602" s="128">
        <f t="shared" si="108"/>
        <v>15</v>
      </c>
      <c r="H602" s="128">
        <f t="shared" si="108"/>
        <v>17</v>
      </c>
      <c r="I602" s="128">
        <f t="shared" si="108"/>
        <v>19</v>
      </c>
      <c r="J602" s="128">
        <f t="shared" si="108"/>
        <v>12</v>
      </c>
      <c r="K602" s="128">
        <f t="shared" si="108"/>
        <v>13</v>
      </c>
      <c r="L602" s="128">
        <f t="shared" si="108"/>
        <v>15</v>
      </c>
      <c r="M602" s="128">
        <f t="shared" si="108"/>
        <v>12</v>
      </c>
      <c r="N602" s="128">
        <f t="shared" si="108"/>
        <v>18</v>
      </c>
      <c r="O602" s="129">
        <f t="shared" si="108"/>
        <v>21</v>
      </c>
      <c r="P602" s="128">
        <f>MIN(F602:O602)</f>
        <v>10</v>
      </c>
      <c r="Q602" s="128">
        <f>E602-P602</f>
        <v>71</v>
      </c>
      <c r="R602" s="72">
        <f>Q602/E602</f>
        <v>0.87654320987654322</v>
      </c>
      <c r="T602" s="182"/>
      <c r="U602" s="182"/>
      <c r="V602" s="182"/>
      <c r="W602" s="182"/>
      <c r="X602" s="182"/>
    </row>
    <row r="603" spans="1:24" ht="15" customHeight="1" x14ac:dyDescent="0.4">
      <c r="A603" s="219" t="s">
        <v>392</v>
      </c>
      <c r="T603" s="182"/>
      <c r="U603" s="182"/>
      <c r="V603" s="1"/>
      <c r="W603" s="1"/>
      <c r="X603" s="1"/>
    </row>
    <row r="604" spans="1:24" ht="15.75" customHeight="1" x14ac:dyDescent="0.4">
      <c r="T604" s="182"/>
      <c r="U604" s="182"/>
    </row>
    <row r="605" spans="1:24" ht="15" customHeight="1" x14ac:dyDescent="0.35">
      <c r="C605" s="215" t="s">
        <v>390</v>
      </c>
      <c r="D605" s="215" t="s">
        <v>329</v>
      </c>
      <c r="E605" s="216" t="s">
        <v>320</v>
      </c>
      <c r="T605" s="182"/>
      <c r="U605" s="182"/>
    </row>
    <row r="606" spans="1:24" ht="15" customHeight="1" x14ac:dyDescent="0.4">
      <c r="C606" s="217">
        <f>SUM('By Lot - East Campus'!E8:E602)/2</f>
        <v>6177</v>
      </c>
      <c r="D606" s="218">
        <f>'By Neighborhood'!C240</f>
        <v>6177</v>
      </c>
      <c r="E606" s="218">
        <f>'By Area'!C46</f>
        <v>6177</v>
      </c>
      <c r="T606" s="182"/>
      <c r="U606" s="182"/>
    </row>
    <row r="607" spans="1:24" ht="15.75" customHeight="1" x14ac:dyDescent="0.4">
      <c r="T607" s="182"/>
      <c r="U607" s="182"/>
    </row>
    <row r="608" spans="1:24" ht="15.75" customHeight="1" x14ac:dyDescent="0.4">
      <c r="T608" s="182"/>
      <c r="U608" s="182"/>
    </row>
    <row r="609" spans="20:21" ht="15.75" customHeight="1" x14ac:dyDescent="0.4">
      <c r="T609" s="182"/>
      <c r="U609" s="182"/>
    </row>
    <row r="610" spans="20:21" ht="15.75" customHeight="1" x14ac:dyDescent="0.4">
      <c r="T610" s="182"/>
      <c r="U610" s="182"/>
    </row>
    <row r="611" spans="20:21" ht="15.75" customHeight="1" x14ac:dyDescent="0.4">
      <c r="T611" s="182"/>
      <c r="U611" s="182"/>
    </row>
    <row r="612" spans="20:21" ht="15.75" customHeight="1" x14ac:dyDescent="0.4">
      <c r="T612" s="182"/>
      <c r="U612" s="182"/>
    </row>
    <row r="613" spans="20:21" ht="15.75" customHeight="1" x14ac:dyDescent="0.4">
      <c r="T613" s="182"/>
      <c r="U613" s="182"/>
    </row>
    <row r="614" spans="20:21" ht="15.75" customHeight="1" x14ac:dyDescent="0.4">
      <c r="T614" s="182"/>
      <c r="U614" s="182"/>
    </row>
    <row r="615" spans="20:21" ht="15.75" customHeight="1" x14ac:dyDescent="0.4">
      <c r="T615" s="182"/>
      <c r="U615" s="182"/>
    </row>
    <row r="616" spans="20:21" ht="15.75" customHeight="1" x14ac:dyDescent="0.4">
      <c r="T616" s="182"/>
      <c r="U616" s="182"/>
    </row>
    <row r="617" spans="20:21" ht="15.75" customHeight="1" x14ac:dyDescent="0.4">
      <c r="T617" s="182"/>
      <c r="U617" s="182"/>
    </row>
    <row r="618" spans="20:21" ht="15.75" customHeight="1" x14ac:dyDescent="0.4">
      <c r="T618" s="182"/>
      <c r="U618" s="182"/>
    </row>
    <row r="619" spans="20:21" ht="15.75" customHeight="1" x14ac:dyDescent="0.4">
      <c r="T619" s="182"/>
      <c r="U619" s="182"/>
    </row>
    <row r="620" spans="20:21" ht="15.75" customHeight="1" x14ac:dyDescent="0.4">
      <c r="T620" s="182"/>
      <c r="U620" s="182"/>
    </row>
    <row r="621" spans="20:21" ht="15.75" customHeight="1" x14ac:dyDescent="0.4">
      <c r="T621" s="182"/>
      <c r="U621" s="182"/>
    </row>
    <row r="622" spans="20:21" ht="15.75" customHeight="1" x14ac:dyDescent="0.4">
      <c r="T622" s="182"/>
      <c r="U622" s="182"/>
    </row>
    <row r="623" spans="20:21" ht="15.75" customHeight="1" x14ac:dyDescent="0.4">
      <c r="T623" s="182"/>
      <c r="U623" s="182"/>
    </row>
    <row r="624" spans="20:21" ht="15.75" customHeight="1" x14ac:dyDescent="0.4">
      <c r="T624" s="182"/>
      <c r="U624" s="182"/>
    </row>
    <row r="625" spans="20:21" ht="15.75" customHeight="1" x14ac:dyDescent="0.4">
      <c r="T625" s="182"/>
      <c r="U625" s="182"/>
    </row>
    <row r="626" spans="20:21" ht="15.75" customHeight="1" x14ac:dyDescent="0.4">
      <c r="T626" s="182"/>
      <c r="U626" s="182"/>
    </row>
    <row r="627" spans="20:21" ht="15.75" customHeight="1" x14ac:dyDescent="0.4">
      <c r="T627" s="182"/>
      <c r="U627" s="182"/>
    </row>
    <row r="628" spans="20:21" ht="15.75" customHeight="1" x14ac:dyDescent="0.4">
      <c r="T628" s="182"/>
      <c r="U628" s="182"/>
    </row>
    <row r="629" spans="20:21" ht="15.75" customHeight="1" x14ac:dyDescent="0.4">
      <c r="T629" s="182"/>
      <c r="U629" s="182"/>
    </row>
    <row r="630" spans="20:21" ht="15.75" customHeight="1" x14ac:dyDescent="0.4">
      <c r="T630" s="182"/>
      <c r="U630" s="182"/>
    </row>
    <row r="631" spans="20:21" ht="15.75" customHeight="1" x14ac:dyDescent="0.4">
      <c r="T631" s="182"/>
      <c r="U631" s="182"/>
    </row>
    <row r="632" spans="20:21" ht="15.75" customHeight="1" x14ac:dyDescent="0.4">
      <c r="T632" s="182"/>
      <c r="U632" s="182"/>
    </row>
    <row r="633" spans="20:21" ht="15.75" customHeight="1" x14ac:dyDescent="0.4">
      <c r="T633" s="182"/>
      <c r="U633" s="182"/>
    </row>
    <row r="634" spans="20:21" ht="15.75" customHeight="1" x14ac:dyDescent="0.4">
      <c r="T634" s="182"/>
      <c r="U634" s="182"/>
    </row>
    <row r="635" spans="20:21" ht="15.75" customHeight="1" x14ac:dyDescent="0.4">
      <c r="T635" s="182"/>
      <c r="U635" s="182"/>
    </row>
    <row r="636" spans="20:21" ht="15.75" customHeight="1" x14ac:dyDescent="0.4">
      <c r="T636" s="182"/>
      <c r="U636" s="182"/>
    </row>
    <row r="637" spans="20:21" ht="15.75" customHeight="1" x14ac:dyDescent="0.4">
      <c r="T637" s="182"/>
      <c r="U637" s="182"/>
    </row>
    <row r="638" spans="20:21" ht="15.75" customHeight="1" x14ac:dyDescent="0.4">
      <c r="T638" s="182"/>
      <c r="U638" s="182"/>
    </row>
    <row r="639" spans="20:21" ht="15.75" customHeight="1" x14ac:dyDescent="0.4">
      <c r="T639" s="182"/>
      <c r="U639" s="182"/>
    </row>
    <row r="640" spans="20:21" ht="15.75" customHeight="1" x14ac:dyDescent="0.4">
      <c r="T640" s="182"/>
      <c r="U640" s="182"/>
    </row>
    <row r="641" spans="20:21" ht="15.75" customHeight="1" x14ac:dyDescent="0.4">
      <c r="T641" s="182"/>
      <c r="U641" s="182"/>
    </row>
    <row r="642" spans="20:21" ht="15.75" customHeight="1" x14ac:dyDescent="0.4">
      <c r="T642" s="182"/>
      <c r="U642" s="182"/>
    </row>
    <row r="643" spans="20:21" ht="15.75" customHeight="1" x14ac:dyDescent="0.4">
      <c r="T643" s="182"/>
      <c r="U643" s="182"/>
    </row>
    <row r="644" spans="20:21" ht="15.75" customHeight="1" x14ac:dyDescent="0.4">
      <c r="T644" s="182"/>
      <c r="U644" s="182"/>
    </row>
    <row r="645" spans="20:21" ht="15.75" customHeight="1" x14ac:dyDescent="0.4">
      <c r="T645" s="182"/>
      <c r="U645" s="182"/>
    </row>
    <row r="646" spans="20:21" ht="15.75" customHeight="1" x14ac:dyDescent="0.4">
      <c r="T646" s="182"/>
      <c r="U646" s="182"/>
    </row>
    <row r="647" spans="20:21" ht="15.75" customHeight="1" x14ac:dyDescent="0.4">
      <c r="T647" s="182"/>
      <c r="U647" s="182"/>
    </row>
    <row r="648" spans="20:21" ht="15.75" customHeight="1" x14ac:dyDescent="0.4">
      <c r="T648" s="182"/>
      <c r="U648" s="182"/>
    </row>
    <row r="649" spans="20:21" ht="15.75" customHeight="1" x14ac:dyDescent="0.4">
      <c r="T649" s="182"/>
      <c r="U649" s="182"/>
    </row>
    <row r="650" spans="20:21" ht="15.75" customHeight="1" x14ac:dyDescent="0.4">
      <c r="T650" s="182"/>
      <c r="U650" s="182"/>
    </row>
    <row r="651" spans="20:21" ht="15.75" customHeight="1" x14ac:dyDescent="0.4">
      <c r="T651" s="182"/>
      <c r="U651" s="182"/>
    </row>
    <row r="652" spans="20:21" ht="15.75" customHeight="1" x14ac:dyDescent="0.4">
      <c r="T652" s="182"/>
      <c r="U652" s="182"/>
    </row>
    <row r="653" spans="20:21" ht="15.75" customHeight="1" x14ac:dyDescent="0.4">
      <c r="T653" s="182"/>
      <c r="U653" s="182"/>
    </row>
    <row r="654" spans="20:21" ht="15.75" customHeight="1" x14ac:dyDescent="0.4">
      <c r="T654" s="182"/>
      <c r="U654" s="182"/>
    </row>
    <row r="655" spans="20:21" ht="15.75" customHeight="1" x14ac:dyDescent="0.4">
      <c r="T655" s="182"/>
      <c r="U655" s="182"/>
    </row>
    <row r="656" spans="20:21" ht="15.75" customHeight="1" x14ac:dyDescent="0.4">
      <c r="T656" s="182"/>
      <c r="U656" s="182"/>
    </row>
    <row r="657" spans="20:21" ht="15.75" customHeight="1" x14ac:dyDescent="0.4">
      <c r="T657" s="182"/>
      <c r="U657" s="182"/>
    </row>
    <row r="658" spans="20:21" ht="15.75" customHeight="1" x14ac:dyDescent="0.4">
      <c r="T658" s="182"/>
      <c r="U658" s="182"/>
    </row>
    <row r="659" spans="20:21" ht="15.75" customHeight="1" x14ac:dyDescent="0.4">
      <c r="T659" s="182"/>
      <c r="U659" s="182"/>
    </row>
    <row r="660" spans="20:21" ht="15.75" customHeight="1" x14ac:dyDescent="0.4">
      <c r="T660" s="182"/>
      <c r="U660" s="182"/>
    </row>
    <row r="661" spans="20:21" ht="15.75" customHeight="1" x14ac:dyDescent="0.4">
      <c r="T661" s="182"/>
      <c r="U661" s="182"/>
    </row>
    <row r="662" spans="20:21" ht="15.75" customHeight="1" x14ac:dyDescent="0.4">
      <c r="T662" s="182"/>
      <c r="U662" s="182"/>
    </row>
    <row r="663" spans="20:21" ht="15.75" customHeight="1" x14ac:dyDescent="0.4">
      <c r="T663" s="182"/>
      <c r="U663" s="182"/>
    </row>
    <row r="664" spans="20:21" ht="15.75" customHeight="1" x14ac:dyDescent="0.4">
      <c r="T664" s="182"/>
      <c r="U664" s="182"/>
    </row>
    <row r="665" spans="20:21" ht="15.75" customHeight="1" x14ac:dyDescent="0.4">
      <c r="T665" s="182"/>
      <c r="U665" s="182"/>
    </row>
    <row r="666" spans="20:21" ht="15.75" customHeight="1" x14ac:dyDescent="0.4">
      <c r="T666" s="182"/>
      <c r="U666" s="182"/>
    </row>
    <row r="667" spans="20:21" ht="15.75" customHeight="1" x14ac:dyDescent="0.4">
      <c r="T667" s="182"/>
      <c r="U667" s="182"/>
    </row>
    <row r="668" spans="20:21" ht="15.75" customHeight="1" x14ac:dyDescent="0.4">
      <c r="T668" s="182"/>
      <c r="U668" s="182"/>
    </row>
    <row r="669" spans="20:21" ht="15.75" customHeight="1" x14ac:dyDescent="0.4">
      <c r="T669" s="182"/>
      <c r="U669" s="182"/>
    </row>
    <row r="670" spans="20:21" ht="15.75" customHeight="1" x14ac:dyDescent="0.4">
      <c r="T670" s="182"/>
      <c r="U670" s="182"/>
    </row>
    <row r="671" spans="20:21" ht="15.75" customHeight="1" x14ac:dyDescent="0.4">
      <c r="T671" s="182"/>
      <c r="U671" s="182"/>
    </row>
    <row r="672" spans="20:21" ht="15.75" customHeight="1" x14ac:dyDescent="0.4">
      <c r="T672" s="182"/>
      <c r="U672" s="182"/>
    </row>
    <row r="673" spans="20:21" ht="15.75" customHeight="1" x14ac:dyDescent="0.4">
      <c r="T673" s="182"/>
      <c r="U673" s="182"/>
    </row>
    <row r="674" spans="20:21" ht="15.75" customHeight="1" x14ac:dyDescent="0.4">
      <c r="T674" s="182"/>
      <c r="U674" s="182"/>
    </row>
    <row r="675" spans="20:21" ht="15.75" customHeight="1" x14ac:dyDescent="0.4">
      <c r="T675" s="182"/>
      <c r="U675" s="182"/>
    </row>
    <row r="676" spans="20:21" ht="15.75" customHeight="1" x14ac:dyDescent="0.4">
      <c r="T676" s="182"/>
      <c r="U676" s="182"/>
    </row>
    <row r="677" spans="20:21" ht="15.75" customHeight="1" x14ac:dyDescent="0.4">
      <c r="T677" s="182"/>
      <c r="U677" s="182"/>
    </row>
    <row r="678" spans="20:21" ht="15.75" customHeight="1" x14ac:dyDescent="0.4">
      <c r="T678" s="182"/>
      <c r="U678" s="182"/>
    </row>
    <row r="679" spans="20:21" ht="15.75" customHeight="1" x14ac:dyDescent="0.4">
      <c r="T679" s="182"/>
      <c r="U679" s="182"/>
    </row>
    <row r="680" spans="20:21" ht="15.75" customHeight="1" x14ac:dyDescent="0.4">
      <c r="T680" s="182"/>
      <c r="U680" s="182"/>
    </row>
    <row r="681" spans="20:21" ht="15.75" customHeight="1" x14ac:dyDescent="0.4">
      <c r="T681" s="182"/>
      <c r="U681" s="182"/>
    </row>
    <row r="682" spans="20:21" ht="15.75" customHeight="1" x14ac:dyDescent="0.4">
      <c r="T682" s="182"/>
      <c r="U682" s="182"/>
    </row>
    <row r="683" spans="20:21" ht="15.75" customHeight="1" x14ac:dyDescent="0.4">
      <c r="T683" s="182"/>
      <c r="U683" s="182"/>
    </row>
    <row r="684" spans="20:21" ht="15.75" customHeight="1" x14ac:dyDescent="0.4">
      <c r="T684" s="182"/>
      <c r="U684" s="182"/>
    </row>
    <row r="685" spans="20:21" ht="15.75" customHeight="1" x14ac:dyDescent="0.4">
      <c r="T685" s="182"/>
      <c r="U685" s="182"/>
    </row>
    <row r="686" spans="20:21" ht="15.75" customHeight="1" x14ac:dyDescent="0.4">
      <c r="T686" s="182"/>
      <c r="U686" s="182"/>
    </row>
    <row r="687" spans="20:21" ht="15.75" customHeight="1" x14ac:dyDescent="0.4">
      <c r="T687" s="182"/>
      <c r="U687" s="182"/>
    </row>
    <row r="688" spans="20:21" ht="15.75" customHeight="1" x14ac:dyDescent="0.4">
      <c r="T688" s="182"/>
      <c r="U688" s="182"/>
    </row>
    <row r="689" spans="20:21" ht="15.75" customHeight="1" x14ac:dyDescent="0.4">
      <c r="T689" s="182"/>
      <c r="U689" s="182"/>
    </row>
    <row r="690" spans="20:21" ht="15.75" customHeight="1" x14ac:dyDescent="0.4">
      <c r="T690" s="182"/>
      <c r="U690" s="182"/>
    </row>
    <row r="691" spans="20:21" ht="15.75" customHeight="1" x14ac:dyDescent="0.4">
      <c r="T691" s="182"/>
      <c r="U691" s="182"/>
    </row>
    <row r="692" spans="20:21" ht="15.75" customHeight="1" x14ac:dyDescent="0.4">
      <c r="T692" s="182"/>
      <c r="U692" s="182"/>
    </row>
    <row r="693" spans="20:21" ht="15.75" customHeight="1" x14ac:dyDescent="0.4">
      <c r="T693" s="182"/>
      <c r="U693" s="182"/>
    </row>
    <row r="694" spans="20:21" ht="15.75" customHeight="1" x14ac:dyDescent="0.4">
      <c r="T694" s="182"/>
      <c r="U694" s="182"/>
    </row>
    <row r="695" spans="20:21" ht="15.75" customHeight="1" x14ac:dyDescent="0.4">
      <c r="T695" s="182"/>
      <c r="U695" s="182"/>
    </row>
    <row r="696" spans="20:21" ht="15.75" customHeight="1" x14ac:dyDescent="0.4">
      <c r="T696" s="182"/>
      <c r="U696" s="182"/>
    </row>
    <row r="697" spans="20:21" ht="15.75" customHeight="1" x14ac:dyDescent="0.4">
      <c r="T697" s="182"/>
      <c r="U697" s="182"/>
    </row>
    <row r="698" spans="20:21" ht="15.75" customHeight="1" x14ac:dyDescent="0.4">
      <c r="T698" s="182"/>
      <c r="U698" s="182"/>
    </row>
    <row r="699" spans="20:21" ht="15.75" customHeight="1" x14ac:dyDescent="0.4">
      <c r="T699" s="182"/>
      <c r="U699" s="182"/>
    </row>
    <row r="700" spans="20:21" ht="15.75" customHeight="1" x14ac:dyDescent="0.4">
      <c r="T700" s="182"/>
      <c r="U700" s="182"/>
    </row>
    <row r="701" spans="20:21" ht="15.75" customHeight="1" x14ac:dyDescent="0.4">
      <c r="T701" s="182"/>
      <c r="U701" s="182"/>
    </row>
    <row r="702" spans="20:21" ht="15.75" customHeight="1" x14ac:dyDescent="0.4">
      <c r="T702" s="182"/>
      <c r="U702" s="182"/>
    </row>
    <row r="703" spans="20:21" ht="15.75" customHeight="1" x14ac:dyDescent="0.4">
      <c r="T703" s="182"/>
      <c r="U703" s="182"/>
    </row>
    <row r="704" spans="20:21" ht="15.75" customHeight="1" x14ac:dyDescent="0.4">
      <c r="T704" s="182"/>
      <c r="U704" s="182"/>
    </row>
    <row r="705" spans="20:21" ht="15.75" customHeight="1" x14ac:dyDescent="0.4">
      <c r="T705" s="182"/>
      <c r="U705" s="182"/>
    </row>
    <row r="706" spans="20:21" ht="15.75" customHeight="1" x14ac:dyDescent="0.4">
      <c r="T706" s="182"/>
      <c r="U706" s="182"/>
    </row>
    <row r="707" spans="20:21" ht="15.75" customHeight="1" x14ac:dyDescent="0.4">
      <c r="T707" s="182"/>
      <c r="U707" s="182"/>
    </row>
    <row r="708" spans="20:21" ht="15.75" customHeight="1" x14ac:dyDescent="0.4">
      <c r="T708" s="182"/>
      <c r="U708" s="182"/>
    </row>
    <row r="709" spans="20:21" ht="15.75" customHeight="1" x14ac:dyDescent="0.4">
      <c r="T709" s="182"/>
      <c r="U709" s="182"/>
    </row>
    <row r="710" spans="20:21" ht="15.75" customHeight="1" x14ac:dyDescent="0.4">
      <c r="T710" s="182"/>
      <c r="U710" s="182"/>
    </row>
    <row r="711" spans="20:21" ht="15.75" customHeight="1" x14ac:dyDescent="0.4">
      <c r="T711" s="182"/>
      <c r="U711" s="182"/>
    </row>
    <row r="712" spans="20:21" ht="15.75" customHeight="1" x14ac:dyDescent="0.4">
      <c r="T712" s="182"/>
      <c r="U712" s="182"/>
    </row>
    <row r="713" spans="20:21" ht="15.75" customHeight="1" x14ac:dyDescent="0.4">
      <c r="T713" s="182"/>
      <c r="U713" s="182"/>
    </row>
    <row r="714" spans="20:21" ht="15.75" customHeight="1" x14ac:dyDescent="0.4">
      <c r="T714" s="182"/>
      <c r="U714" s="182"/>
    </row>
    <row r="715" spans="20:21" ht="15.75" customHeight="1" x14ac:dyDescent="0.4">
      <c r="T715" s="182"/>
      <c r="U715" s="182"/>
    </row>
    <row r="716" spans="20:21" ht="15.75" customHeight="1" x14ac:dyDescent="0.4">
      <c r="T716" s="182"/>
      <c r="U716" s="182"/>
    </row>
    <row r="717" spans="20:21" ht="15.75" customHeight="1" x14ac:dyDescent="0.4">
      <c r="T717" s="182"/>
      <c r="U717" s="182"/>
    </row>
    <row r="718" spans="20:21" ht="15.75" customHeight="1" x14ac:dyDescent="0.4">
      <c r="T718" s="182"/>
      <c r="U718" s="182"/>
    </row>
    <row r="719" spans="20:21" ht="15.75" customHeight="1" x14ac:dyDescent="0.4">
      <c r="T719" s="182"/>
      <c r="U719" s="182"/>
    </row>
    <row r="720" spans="20:21" ht="15.75" customHeight="1" x14ac:dyDescent="0.4">
      <c r="T720" s="182"/>
      <c r="U720" s="182"/>
    </row>
    <row r="721" spans="20:21" ht="15.75" customHeight="1" x14ac:dyDescent="0.4">
      <c r="T721" s="182"/>
      <c r="U721" s="182"/>
    </row>
    <row r="722" spans="20:21" ht="15.75" customHeight="1" x14ac:dyDescent="0.4">
      <c r="T722" s="182"/>
      <c r="U722" s="182"/>
    </row>
    <row r="723" spans="20:21" ht="15.75" customHeight="1" x14ac:dyDescent="0.4">
      <c r="T723" s="182"/>
      <c r="U723" s="182"/>
    </row>
    <row r="724" spans="20:21" ht="15.75" customHeight="1" x14ac:dyDescent="0.4">
      <c r="T724" s="182"/>
      <c r="U724" s="182"/>
    </row>
    <row r="725" spans="20:21" ht="15.75" customHeight="1" x14ac:dyDescent="0.4">
      <c r="T725" s="182"/>
      <c r="U725" s="182"/>
    </row>
    <row r="726" spans="20:21" ht="15.75" customHeight="1" x14ac:dyDescent="0.4">
      <c r="T726" s="182"/>
      <c r="U726" s="182"/>
    </row>
    <row r="727" spans="20:21" ht="15.75" customHeight="1" x14ac:dyDescent="0.4">
      <c r="T727" s="182"/>
      <c r="U727" s="182"/>
    </row>
    <row r="728" spans="20:21" ht="15.75" customHeight="1" x14ac:dyDescent="0.4">
      <c r="T728" s="182"/>
      <c r="U728" s="182"/>
    </row>
    <row r="729" spans="20:21" ht="15.75" customHeight="1" x14ac:dyDescent="0.4">
      <c r="T729" s="182"/>
      <c r="U729" s="182"/>
    </row>
    <row r="730" spans="20:21" ht="15.75" customHeight="1" x14ac:dyDescent="0.4">
      <c r="T730" s="182"/>
      <c r="U730" s="182"/>
    </row>
    <row r="731" spans="20:21" ht="15.75" customHeight="1" x14ac:dyDescent="0.4">
      <c r="T731" s="182"/>
      <c r="U731" s="182"/>
    </row>
    <row r="732" spans="20:21" ht="15.75" customHeight="1" x14ac:dyDescent="0.4">
      <c r="T732" s="182"/>
      <c r="U732" s="182"/>
    </row>
    <row r="733" spans="20:21" ht="15.75" customHeight="1" x14ac:dyDescent="0.4">
      <c r="T733" s="182"/>
      <c r="U733" s="182"/>
    </row>
    <row r="734" spans="20:21" ht="15.75" customHeight="1" x14ac:dyDescent="0.4">
      <c r="T734" s="182"/>
      <c r="U734" s="182"/>
    </row>
    <row r="735" spans="20:21" ht="15.75" customHeight="1" x14ac:dyDescent="0.4">
      <c r="T735" s="182"/>
      <c r="U735" s="182"/>
    </row>
    <row r="736" spans="20:21" ht="15.75" customHeight="1" x14ac:dyDescent="0.4">
      <c r="T736" s="182"/>
      <c r="U736" s="182"/>
    </row>
    <row r="737" spans="20:21" ht="15.75" customHeight="1" x14ac:dyDescent="0.4">
      <c r="T737" s="182"/>
      <c r="U737" s="182"/>
    </row>
    <row r="738" spans="20:21" ht="15.75" customHeight="1" x14ac:dyDescent="0.4">
      <c r="T738" s="182"/>
      <c r="U738" s="182"/>
    </row>
    <row r="739" spans="20:21" ht="15.75" customHeight="1" x14ac:dyDescent="0.4">
      <c r="T739" s="182"/>
      <c r="U739" s="182"/>
    </row>
    <row r="740" spans="20:21" ht="15.75" customHeight="1" x14ac:dyDescent="0.4">
      <c r="T740" s="182"/>
      <c r="U740" s="182"/>
    </row>
    <row r="741" spans="20:21" ht="15.75" customHeight="1" x14ac:dyDescent="0.4">
      <c r="T741" s="182"/>
      <c r="U741" s="182"/>
    </row>
    <row r="742" spans="20:21" ht="15.75" customHeight="1" x14ac:dyDescent="0.4">
      <c r="T742" s="182"/>
      <c r="U742" s="182"/>
    </row>
    <row r="743" spans="20:21" ht="15.75" customHeight="1" x14ac:dyDescent="0.4">
      <c r="T743" s="182"/>
      <c r="U743" s="182"/>
    </row>
    <row r="744" spans="20:21" ht="15.75" customHeight="1" x14ac:dyDescent="0.4">
      <c r="T744" s="182"/>
      <c r="U744" s="182"/>
    </row>
    <row r="745" spans="20:21" ht="15.75" customHeight="1" x14ac:dyDescent="0.4">
      <c r="T745" s="182"/>
      <c r="U745" s="182"/>
    </row>
    <row r="746" spans="20:21" ht="15.75" customHeight="1" x14ac:dyDescent="0.4">
      <c r="T746" s="182"/>
      <c r="U746" s="182"/>
    </row>
    <row r="747" spans="20:21" ht="15.75" customHeight="1" x14ac:dyDescent="0.4">
      <c r="T747" s="182"/>
      <c r="U747" s="182"/>
    </row>
    <row r="748" spans="20:21" ht="15.75" customHeight="1" x14ac:dyDescent="0.4">
      <c r="T748" s="182"/>
      <c r="U748" s="182"/>
    </row>
    <row r="749" spans="20:21" ht="15.75" customHeight="1" x14ac:dyDescent="0.4">
      <c r="T749" s="182"/>
      <c r="U749" s="182"/>
    </row>
    <row r="750" spans="20:21" ht="15.75" customHeight="1" x14ac:dyDescent="0.4">
      <c r="T750" s="182"/>
      <c r="U750" s="182"/>
    </row>
    <row r="751" spans="20:21" ht="15.75" customHeight="1" x14ac:dyDescent="0.4">
      <c r="T751" s="182"/>
      <c r="U751" s="182"/>
    </row>
    <row r="752" spans="20:21" ht="15.75" customHeight="1" x14ac:dyDescent="0.4">
      <c r="T752" s="182"/>
      <c r="U752" s="182"/>
    </row>
    <row r="753" spans="20:21" ht="15.75" customHeight="1" x14ac:dyDescent="0.4">
      <c r="T753" s="182"/>
      <c r="U753" s="182"/>
    </row>
    <row r="754" spans="20:21" ht="15.75" customHeight="1" x14ac:dyDescent="0.4">
      <c r="T754" s="182"/>
      <c r="U754" s="182"/>
    </row>
    <row r="755" spans="20:21" ht="15.75" customHeight="1" x14ac:dyDescent="0.4">
      <c r="T755" s="182"/>
      <c r="U755" s="182"/>
    </row>
    <row r="756" spans="20:21" ht="15.75" customHeight="1" x14ac:dyDescent="0.4">
      <c r="T756" s="182"/>
      <c r="U756" s="182"/>
    </row>
    <row r="757" spans="20:21" ht="15.75" customHeight="1" x14ac:dyDescent="0.4">
      <c r="T757" s="182"/>
      <c r="U757" s="182"/>
    </row>
    <row r="758" spans="20:21" ht="15.75" customHeight="1" x14ac:dyDescent="0.4">
      <c r="T758" s="182"/>
      <c r="U758" s="182"/>
    </row>
    <row r="759" spans="20:21" ht="15.75" customHeight="1" x14ac:dyDescent="0.4">
      <c r="T759" s="182"/>
      <c r="U759" s="182"/>
    </row>
    <row r="760" spans="20:21" ht="15.75" customHeight="1" x14ac:dyDescent="0.4">
      <c r="T760" s="182"/>
      <c r="U760" s="182"/>
    </row>
    <row r="761" spans="20:21" ht="15.75" customHeight="1" x14ac:dyDescent="0.4">
      <c r="T761" s="182"/>
      <c r="U761" s="182"/>
    </row>
    <row r="762" spans="20:21" ht="15.75" customHeight="1" x14ac:dyDescent="0.4">
      <c r="T762" s="182"/>
      <c r="U762" s="182"/>
    </row>
    <row r="763" spans="20:21" ht="15.75" customHeight="1" x14ac:dyDescent="0.4">
      <c r="T763" s="182"/>
      <c r="U763" s="182"/>
    </row>
    <row r="764" spans="20:21" ht="15.75" customHeight="1" x14ac:dyDescent="0.4">
      <c r="T764" s="182"/>
      <c r="U764" s="182"/>
    </row>
    <row r="765" spans="20:21" ht="15.75" customHeight="1" x14ac:dyDescent="0.4">
      <c r="T765" s="182"/>
      <c r="U765" s="182"/>
    </row>
    <row r="766" spans="20:21" ht="15.75" customHeight="1" x14ac:dyDescent="0.4">
      <c r="T766" s="182"/>
      <c r="U766" s="182"/>
    </row>
    <row r="767" spans="20:21" ht="15.75" customHeight="1" x14ac:dyDescent="0.4">
      <c r="T767" s="182"/>
      <c r="U767" s="182"/>
    </row>
    <row r="768" spans="20:21" ht="15.75" customHeight="1" x14ac:dyDescent="0.4">
      <c r="T768" s="182"/>
      <c r="U768" s="182"/>
    </row>
    <row r="769" spans="20:21" ht="15.75" customHeight="1" x14ac:dyDescent="0.4">
      <c r="T769" s="182"/>
      <c r="U769" s="182"/>
    </row>
    <row r="770" spans="20:21" ht="15.75" customHeight="1" x14ac:dyDescent="0.4">
      <c r="T770" s="182"/>
      <c r="U770" s="182"/>
    </row>
    <row r="771" spans="20:21" ht="15.75" customHeight="1" x14ac:dyDescent="0.4">
      <c r="T771" s="182"/>
      <c r="U771" s="182"/>
    </row>
    <row r="772" spans="20:21" ht="15.75" customHeight="1" x14ac:dyDescent="0.4">
      <c r="T772" s="182"/>
      <c r="U772" s="182"/>
    </row>
    <row r="773" spans="20:21" ht="15.75" customHeight="1" x14ac:dyDescent="0.4">
      <c r="T773" s="182"/>
      <c r="U773" s="182"/>
    </row>
    <row r="774" spans="20:21" ht="15.75" customHeight="1" x14ac:dyDescent="0.4">
      <c r="T774" s="182"/>
      <c r="U774" s="182"/>
    </row>
    <row r="775" spans="20:21" ht="15.75" customHeight="1" x14ac:dyDescent="0.4">
      <c r="T775" s="182"/>
      <c r="U775" s="182"/>
    </row>
    <row r="776" spans="20:21" ht="15.75" customHeight="1" x14ac:dyDescent="0.4">
      <c r="T776" s="182"/>
      <c r="U776" s="182"/>
    </row>
    <row r="777" spans="20:21" ht="15.75" customHeight="1" x14ac:dyDescent="0.4">
      <c r="T777" s="182"/>
      <c r="U777" s="182"/>
    </row>
    <row r="778" spans="20:21" ht="15.75" customHeight="1" x14ac:dyDescent="0.4">
      <c r="T778" s="182"/>
      <c r="U778" s="182"/>
    </row>
    <row r="779" spans="20:21" ht="15.75" customHeight="1" x14ac:dyDescent="0.4">
      <c r="T779" s="182"/>
      <c r="U779" s="182"/>
    </row>
    <row r="780" spans="20:21" ht="15.75" customHeight="1" x14ac:dyDescent="0.4">
      <c r="T780" s="182"/>
      <c r="U780" s="182"/>
    </row>
    <row r="781" spans="20:21" ht="15.75" customHeight="1" x14ac:dyDescent="0.4">
      <c r="T781" s="182"/>
      <c r="U781" s="182"/>
    </row>
    <row r="782" spans="20:21" ht="15.75" customHeight="1" x14ac:dyDescent="0.4">
      <c r="T782" s="182"/>
      <c r="U782" s="182"/>
    </row>
    <row r="783" spans="20:21" ht="15.75" customHeight="1" x14ac:dyDescent="0.4">
      <c r="T783" s="182"/>
      <c r="U783" s="182"/>
    </row>
    <row r="784" spans="20:21" ht="15.75" customHeight="1" x14ac:dyDescent="0.4">
      <c r="T784" s="182"/>
      <c r="U784" s="182"/>
    </row>
    <row r="785" spans="20:21" ht="15.75" customHeight="1" x14ac:dyDescent="0.4">
      <c r="T785" s="182"/>
      <c r="U785" s="182"/>
    </row>
    <row r="786" spans="20:21" ht="15.75" customHeight="1" x14ac:dyDescent="0.4">
      <c r="T786" s="182"/>
      <c r="U786" s="182"/>
    </row>
    <row r="787" spans="20:21" ht="15.75" customHeight="1" x14ac:dyDescent="0.4">
      <c r="T787" s="182"/>
      <c r="U787" s="182"/>
    </row>
    <row r="788" spans="20:21" ht="15.75" customHeight="1" x14ac:dyDescent="0.4">
      <c r="T788" s="182"/>
      <c r="U788" s="182"/>
    </row>
    <row r="789" spans="20:21" ht="15.75" customHeight="1" x14ac:dyDescent="0.4">
      <c r="T789" s="182"/>
      <c r="U789" s="182"/>
    </row>
    <row r="790" spans="20:21" ht="15.75" customHeight="1" x14ac:dyDescent="0.4">
      <c r="T790" s="182"/>
      <c r="U790" s="182"/>
    </row>
    <row r="791" spans="20:21" ht="15.75" customHeight="1" x14ac:dyDescent="0.4">
      <c r="T791" s="182"/>
      <c r="U791" s="182"/>
    </row>
    <row r="792" spans="20:21" ht="15.75" customHeight="1" x14ac:dyDescent="0.4">
      <c r="T792" s="182"/>
      <c r="U792" s="182"/>
    </row>
    <row r="793" spans="20:21" ht="15.75" customHeight="1" x14ac:dyDescent="0.4">
      <c r="T793" s="182"/>
      <c r="U793" s="182"/>
    </row>
    <row r="794" spans="20:21" ht="15.75" customHeight="1" x14ac:dyDescent="0.4">
      <c r="T794" s="182"/>
      <c r="U794" s="182"/>
    </row>
    <row r="795" spans="20:21" ht="15.75" customHeight="1" x14ac:dyDescent="0.4">
      <c r="T795" s="182"/>
      <c r="U795" s="182"/>
    </row>
    <row r="796" spans="20:21" ht="15.75" customHeight="1" x14ac:dyDescent="0.4">
      <c r="T796" s="182"/>
      <c r="U796" s="182"/>
    </row>
    <row r="797" spans="20:21" ht="15.75" customHeight="1" x14ac:dyDescent="0.4">
      <c r="T797" s="182"/>
      <c r="U797" s="182"/>
    </row>
    <row r="798" spans="20:21" ht="15.75" customHeight="1" x14ac:dyDescent="0.4">
      <c r="T798" s="182"/>
      <c r="U798" s="182"/>
    </row>
    <row r="799" spans="20:21" ht="15.75" customHeight="1" x14ac:dyDescent="0.4">
      <c r="T799" s="182"/>
      <c r="U799" s="182"/>
    </row>
    <row r="800" spans="20:21" ht="15.75" customHeight="1" x14ac:dyDescent="0.4">
      <c r="T800" s="182"/>
      <c r="U800" s="182"/>
    </row>
    <row r="801" spans="20:21" ht="15.75" customHeight="1" x14ac:dyDescent="0.4">
      <c r="T801" s="182"/>
      <c r="U801" s="182"/>
    </row>
    <row r="802" spans="20:21" ht="15.75" customHeight="1" x14ac:dyDescent="0.4">
      <c r="T802" s="182"/>
      <c r="U802" s="182"/>
    </row>
    <row r="803" spans="20:21" ht="15.75" customHeight="1" x14ac:dyDescent="0.4">
      <c r="T803" s="182"/>
      <c r="U803" s="182"/>
    </row>
    <row r="804" spans="20:21" ht="15.75" customHeight="1" x14ac:dyDescent="0.4">
      <c r="T804" s="182"/>
      <c r="U804" s="182"/>
    </row>
    <row r="805" spans="20:21" ht="15.75" customHeight="1" x14ac:dyDescent="0.4">
      <c r="T805" s="182"/>
      <c r="U805" s="182"/>
    </row>
    <row r="806" spans="20:21" ht="15.75" customHeight="1" x14ac:dyDescent="0.4">
      <c r="T806" s="182"/>
      <c r="U806" s="182"/>
    </row>
    <row r="807" spans="20:21" ht="15.75" customHeight="1" x14ac:dyDescent="0.4">
      <c r="T807" s="182"/>
      <c r="U807" s="182"/>
    </row>
    <row r="808" spans="20:21" ht="15.75" customHeight="1" x14ac:dyDescent="0.4">
      <c r="T808" s="182"/>
      <c r="U808" s="182"/>
    </row>
    <row r="809" spans="20:21" ht="15.75" customHeight="1" x14ac:dyDescent="0.4">
      <c r="T809" s="182"/>
      <c r="U809" s="182"/>
    </row>
    <row r="810" spans="20:21" ht="15.75" customHeight="1" x14ac:dyDescent="0.4">
      <c r="T810" s="182"/>
      <c r="U810" s="182"/>
    </row>
    <row r="811" spans="20:21" ht="15.75" customHeight="1" x14ac:dyDescent="0.4">
      <c r="T811" s="182"/>
      <c r="U811" s="182"/>
    </row>
    <row r="812" spans="20:21" ht="15.75" customHeight="1" x14ac:dyDescent="0.4">
      <c r="T812" s="182"/>
      <c r="U812" s="182"/>
    </row>
    <row r="813" spans="20:21" ht="15.75" customHeight="1" x14ac:dyDescent="0.4">
      <c r="T813" s="182"/>
      <c r="U813" s="182"/>
    </row>
    <row r="814" spans="20:21" ht="15.75" customHeight="1" x14ac:dyDescent="0.4">
      <c r="T814" s="182"/>
      <c r="U814" s="182"/>
    </row>
    <row r="815" spans="20:21" ht="15.75" customHeight="1" x14ac:dyDescent="0.4">
      <c r="T815" s="182"/>
      <c r="U815" s="182"/>
    </row>
    <row r="816" spans="20:21" ht="15.75" customHeight="1" x14ac:dyDescent="0.4">
      <c r="T816" s="182"/>
      <c r="U816" s="182"/>
    </row>
    <row r="817" spans="20:21" ht="15.75" customHeight="1" x14ac:dyDescent="0.4">
      <c r="T817" s="182"/>
      <c r="U817" s="182"/>
    </row>
    <row r="818" spans="20:21" ht="15.75" customHeight="1" x14ac:dyDescent="0.4">
      <c r="T818" s="182"/>
      <c r="U818" s="182"/>
    </row>
    <row r="819" spans="20:21" ht="15.75" customHeight="1" x14ac:dyDescent="0.4">
      <c r="T819" s="182"/>
      <c r="U819" s="182"/>
    </row>
    <row r="820" spans="20:21" ht="15.75" customHeight="1" x14ac:dyDescent="0.4">
      <c r="T820" s="182"/>
      <c r="U820" s="182"/>
    </row>
    <row r="821" spans="20:21" ht="15.75" customHeight="1" x14ac:dyDescent="0.4">
      <c r="T821" s="182"/>
      <c r="U821" s="182"/>
    </row>
    <row r="822" spans="20:21" ht="15.75" customHeight="1" x14ac:dyDescent="0.4">
      <c r="T822" s="182"/>
      <c r="U822" s="182"/>
    </row>
    <row r="823" spans="20:21" ht="15.75" customHeight="1" x14ac:dyDescent="0.4">
      <c r="T823" s="182"/>
      <c r="U823" s="182"/>
    </row>
    <row r="824" spans="20:21" ht="15.75" customHeight="1" x14ac:dyDescent="0.4">
      <c r="T824" s="182"/>
      <c r="U824" s="182"/>
    </row>
    <row r="825" spans="20:21" ht="15.75" customHeight="1" x14ac:dyDescent="0.4">
      <c r="T825" s="182"/>
      <c r="U825" s="182"/>
    </row>
    <row r="826" spans="20:21" ht="15.75" customHeight="1" x14ac:dyDescent="0.4">
      <c r="T826" s="182"/>
      <c r="U826" s="182"/>
    </row>
    <row r="827" spans="20:21" ht="15.75" customHeight="1" x14ac:dyDescent="0.4">
      <c r="T827" s="182"/>
      <c r="U827" s="182"/>
    </row>
    <row r="828" spans="20:21" ht="15.75" customHeight="1" x14ac:dyDescent="0.4">
      <c r="T828" s="182"/>
      <c r="U828" s="182"/>
    </row>
    <row r="829" spans="20:21" ht="15.75" customHeight="1" x14ac:dyDescent="0.4">
      <c r="T829" s="182"/>
      <c r="U829" s="182"/>
    </row>
    <row r="830" spans="20:21" ht="15.75" customHeight="1" x14ac:dyDescent="0.4">
      <c r="T830" s="182"/>
      <c r="U830" s="182"/>
    </row>
    <row r="831" spans="20:21" ht="15.75" customHeight="1" x14ac:dyDescent="0.4">
      <c r="T831" s="182"/>
      <c r="U831" s="182"/>
    </row>
    <row r="832" spans="20:21" ht="15.75" customHeight="1" x14ac:dyDescent="0.4">
      <c r="T832" s="182"/>
      <c r="U832" s="182"/>
    </row>
    <row r="833" spans="20:21" ht="15.75" customHeight="1" x14ac:dyDescent="0.4">
      <c r="T833" s="182"/>
      <c r="U833" s="182"/>
    </row>
    <row r="834" spans="20:21" ht="15.75" customHeight="1" x14ac:dyDescent="0.4">
      <c r="T834" s="182"/>
      <c r="U834" s="182"/>
    </row>
    <row r="835" spans="20:21" ht="15.75" customHeight="1" x14ac:dyDescent="0.4">
      <c r="T835" s="182"/>
      <c r="U835" s="182"/>
    </row>
    <row r="836" spans="20:21" ht="15.75" customHeight="1" x14ac:dyDescent="0.4">
      <c r="T836" s="182"/>
      <c r="U836" s="182"/>
    </row>
    <row r="837" spans="20:21" ht="15.75" customHeight="1" x14ac:dyDescent="0.4">
      <c r="T837" s="182"/>
      <c r="U837" s="182"/>
    </row>
    <row r="838" spans="20:21" ht="15.75" customHeight="1" x14ac:dyDescent="0.4">
      <c r="T838" s="182"/>
      <c r="U838" s="182"/>
    </row>
    <row r="839" spans="20:21" ht="15.75" customHeight="1" x14ac:dyDescent="0.4">
      <c r="T839" s="182"/>
      <c r="U839" s="182"/>
    </row>
    <row r="840" spans="20:21" ht="15.75" customHeight="1" x14ac:dyDescent="0.4">
      <c r="T840" s="182"/>
      <c r="U840" s="182"/>
    </row>
    <row r="841" spans="20:21" ht="15.75" customHeight="1" x14ac:dyDescent="0.4">
      <c r="T841" s="182"/>
      <c r="U841" s="182"/>
    </row>
    <row r="842" spans="20:21" ht="15.75" customHeight="1" x14ac:dyDescent="0.4">
      <c r="T842" s="182"/>
      <c r="U842" s="182"/>
    </row>
    <row r="843" spans="20:21" ht="15.75" customHeight="1" x14ac:dyDescent="0.4">
      <c r="T843" s="182"/>
      <c r="U843" s="182"/>
    </row>
    <row r="844" spans="20:21" ht="15.75" customHeight="1" x14ac:dyDescent="0.4">
      <c r="T844" s="182"/>
      <c r="U844" s="182"/>
    </row>
    <row r="845" spans="20:21" ht="15.75" customHeight="1" x14ac:dyDescent="0.4">
      <c r="T845" s="182"/>
      <c r="U845" s="182"/>
    </row>
    <row r="846" spans="20:21" ht="15.75" customHeight="1" x14ac:dyDescent="0.4">
      <c r="T846" s="182"/>
      <c r="U846" s="182"/>
    </row>
    <row r="847" spans="20:21" ht="15.75" customHeight="1" x14ac:dyDescent="0.4">
      <c r="T847" s="182"/>
      <c r="U847" s="182"/>
    </row>
    <row r="848" spans="20:21" ht="15.75" customHeight="1" x14ac:dyDescent="0.4">
      <c r="T848" s="182"/>
      <c r="U848" s="182"/>
    </row>
    <row r="849" spans="20:21" ht="15.75" customHeight="1" x14ac:dyDescent="0.4">
      <c r="T849" s="182"/>
      <c r="U849" s="182"/>
    </row>
    <row r="850" spans="20:21" ht="15.75" customHeight="1" x14ac:dyDescent="0.4">
      <c r="T850" s="182"/>
      <c r="U850" s="182"/>
    </row>
    <row r="851" spans="20:21" ht="15.75" customHeight="1" x14ac:dyDescent="0.4">
      <c r="T851" s="182"/>
      <c r="U851" s="182"/>
    </row>
    <row r="852" spans="20:21" ht="15.75" customHeight="1" x14ac:dyDescent="0.4">
      <c r="T852" s="182"/>
      <c r="U852" s="182"/>
    </row>
    <row r="853" spans="20:21" ht="15.75" customHeight="1" x14ac:dyDescent="0.4">
      <c r="T853" s="182"/>
      <c r="U853" s="182"/>
    </row>
    <row r="854" spans="20:21" ht="15.75" customHeight="1" x14ac:dyDescent="0.4">
      <c r="T854" s="182"/>
      <c r="U854" s="182"/>
    </row>
    <row r="855" spans="20:21" ht="15.75" customHeight="1" x14ac:dyDescent="0.4">
      <c r="T855" s="182"/>
      <c r="U855" s="182"/>
    </row>
    <row r="856" spans="20:21" ht="15.75" customHeight="1" x14ac:dyDescent="0.4">
      <c r="T856" s="182"/>
      <c r="U856" s="182"/>
    </row>
    <row r="857" spans="20:21" ht="15.75" customHeight="1" x14ac:dyDescent="0.4">
      <c r="T857" s="182"/>
      <c r="U857" s="182"/>
    </row>
    <row r="858" spans="20:21" ht="15.75" customHeight="1" x14ac:dyDescent="0.4">
      <c r="T858" s="182"/>
      <c r="U858" s="182"/>
    </row>
    <row r="859" spans="20:21" ht="15.75" customHeight="1" x14ac:dyDescent="0.4">
      <c r="T859" s="182"/>
      <c r="U859" s="182"/>
    </row>
    <row r="860" spans="20:21" ht="15.75" customHeight="1" x14ac:dyDescent="0.4">
      <c r="T860" s="182"/>
      <c r="U860" s="182"/>
    </row>
    <row r="861" spans="20:21" ht="15.75" customHeight="1" x14ac:dyDescent="0.4">
      <c r="T861" s="182"/>
      <c r="U861" s="182"/>
    </row>
    <row r="862" spans="20:21" ht="15.75" customHeight="1" x14ac:dyDescent="0.4">
      <c r="T862" s="182"/>
      <c r="U862" s="182"/>
    </row>
    <row r="863" spans="20:21" ht="15.75" customHeight="1" x14ac:dyDescent="0.4">
      <c r="T863" s="182"/>
      <c r="U863" s="182"/>
    </row>
    <row r="864" spans="20:21" ht="15.75" customHeight="1" x14ac:dyDescent="0.4">
      <c r="T864" s="182"/>
      <c r="U864" s="182"/>
    </row>
    <row r="865" spans="20:21" ht="15.75" customHeight="1" x14ac:dyDescent="0.4">
      <c r="T865" s="182"/>
      <c r="U865" s="182"/>
    </row>
    <row r="866" spans="20:21" ht="15.75" customHeight="1" x14ac:dyDescent="0.4">
      <c r="T866" s="182"/>
      <c r="U866" s="182"/>
    </row>
    <row r="867" spans="20:21" ht="15.75" customHeight="1" x14ac:dyDescent="0.4">
      <c r="T867" s="182"/>
      <c r="U867" s="182"/>
    </row>
    <row r="868" spans="20:21" ht="15.75" customHeight="1" x14ac:dyDescent="0.4">
      <c r="T868" s="182"/>
      <c r="U868" s="182"/>
    </row>
    <row r="869" spans="20:21" ht="15.75" customHeight="1" x14ac:dyDescent="0.4">
      <c r="T869" s="182"/>
      <c r="U869" s="182"/>
    </row>
    <row r="870" spans="20:21" ht="15.75" customHeight="1" x14ac:dyDescent="0.4">
      <c r="T870" s="182"/>
      <c r="U870" s="182"/>
    </row>
    <row r="871" spans="20:21" ht="15.75" customHeight="1" x14ac:dyDescent="0.4">
      <c r="T871" s="182"/>
      <c r="U871" s="182"/>
    </row>
    <row r="872" spans="20:21" ht="15.75" customHeight="1" x14ac:dyDescent="0.4">
      <c r="T872" s="182"/>
      <c r="U872" s="182"/>
    </row>
    <row r="873" spans="20:21" ht="15.75" customHeight="1" x14ac:dyDescent="0.4">
      <c r="T873" s="182"/>
      <c r="U873" s="182"/>
    </row>
    <row r="874" spans="20:21" ht="15.75" customHeight="1" x14ac:dyDescent="0.4">
      <c r="T874" s="182"/>
      <c r="U874" s="182"/>
    </row>
    <row r="875" spans="20:21" ht="15.75" customHeight="1" x14ac:dyDescent="0.4">
      <c r="T875" s="182"/>
      <c r="U875" s="182"/>
    </row>
    <row r="876" spans="20:21" ht="15.75" customHeight="1" x14ac:dyDescent="0.4">
      <c r="T876" s="182"/>
      <c r="U876" s="182"/>
    </row>
    <row r="877" spans="20:21" ht="15.75" customHeight="1" x14ac:dyDescent="0.4">
      <c r="T877" s="182"/>
      <c r="U877" s="182"/>
    </row>
    <row r="878" spans="20:21" ht="15.75" customHeight="1" x14ac:dyDescent="0.4">
      <c r="T878" s="182"/>
      <c r="U878" s="182"/>
    </row>
    <row r="879" spans="20:21" ht="15.75" customHeight="1" x14ac:dyDescent="0.4">
      <c r="T879" s="182"/>
      <c r="U879" s="182"/>
    </row>
    <row r="880" spans="20:21" ht="15.75" customHeight="1" x14ac:dyDescent="0.4">
      <c r="T880" s="182"/>
      <c r="U880" s="182"/>
    </row>
    <row r="881" spans="20:21" ht="15.75" customHeight="1" x14ac:dyDescent="0.4">
      <c r="T881" s="182"/>
      <c r="U881" s="182"/>
    </row>
    <row r="882" spans="20:21" ht="15.75" customHeight="1" x14ac:dyDescent="0.4">
      <c r="T882" s="182"/>
      <c r="U882" s="182"/>
    </row>
    <row r="883" spans="20:21" ht="15.75" customHeight="1" x14ac:dyDescent="0.4">
      <c r="T883" s="182"/>
      <c r="U883" s="182"/>
    </row>
    <row r="884" spans="20:21" ht="15.75" customHeight="1" x14ac:dyDescent="0.4">
      <c r="T884" s="182"/>
      <c r="U884" s="182"/>
    </row>
    <row r="885" spans="20:21" ht="15.75" customHeight="1" x14ac:dyDescent="0.4">
      <c r="T885" s="182"/>
      <c r="U885" s="182"/>
    </row>
    <row r="886" spans="20:21" ht="15.75" customHeight="1" x14ac:dyDescent="0.4">
      <c r="T886" s="182"/>
      <c r="U886" s="182"/>
    </row>
    <row r="887" spans="20:21" ht="15.75" customHeight="1" x14ac:dyDescent="0.4">
      <c r="T887" s="182"/>
      <c r="U887" s="182"/>
    </row>
    <row r="888" spans="20:21" ht="15.75" customHeight="1" x14ac:dyDescent="0.4">
      <c r="T888" s="182"/>
      <c r="U888" s="182"/>
    </row>
    <row r="889" spans="20:21" ht="15.75" customHeight="1" x14ac:dyDescent="0.4">
      <c r="T889" s="182"/>
      <c r="U889" s="182"/>
    </row>
    <row r="890" spans="20:21" ht="15.75" customHeight="1" x14ac:dyDescent="0.4">
      <c r="T890" s="182"/>
      <c r="U890" s="182"/>
    </row>
    <row r="891" spans="20:21" ht="15.75" customHeight="1" x14ac:dyDescent="0.4">
      <c r="T891" s="182"/>
      <c r="U891" s="182"/>
    </row>
    <row r="892" spans="20:21" ht="15.75" customHeight="1" x14ac:dyDescent="0.4">
      <c r="T892" s="182"/>
      <c r="U892" s="182"/>
    </row>
    <row r="893" spans="20:21" ht="15.75" customHeight="1" x14ac:dyDescent="0.4">
      <c r="T893" s="182"/>
      <c r="U893" s="182"/>
    </row>
    <row r="894" spans="20:21" ht="15.75" customHeight="1" x14ac:dyDescent="0.4">
      <c r="T894" s="182"/>
      <c r="U894" s="182"/>
    </row>
    <row r="895" spans="20:21" ht="15.75" customHeight="1" x14ac:dyDescent="0.4">
      <c r="T895" s="182"/>
      <c r="U895" s="182"/>
    </row>
    <row r="896" spans="20:21" ht="15.75" customHeight="1" x14ac:dyDescent="0.4">
      <c r="T896" s="182"/>
      <c r="U896" s="182"/>
    </row>
    <row r="897" spans="20:21" ht="15.75" customHeight="1" x14ac:dyDescent="0.4">
      <c r="T897" s="182"/>
      <c r="U897" s="182"/>
    </row>
    <row r="898" spans="20:21" ht="15.75" customHeight="1" x14ac:dyDescent="0.4">
      <c r="T898" s="182"/>
      <c r="U898" s="182"/>
    </row>
    <row r="899" spans="20:21" ht="15.75" customHeight="1" x14ac:dyDescent="0.4">
      <c r="T899" s="182"/>
      <c r="U899" s="182"/>
    </row>
    <row r="900" spans="20:21" ht="15.75" customHeight="1" x14ac:dyDescent="0.4">
      <c r="T900" s="182"/>
      <c r="U900" s="182"/>
    </row>
    <row r="901" spans="20:21" ht="15.75" customHeight="1" x14ac:dyDescent="0.4">
      <c r="T901" s="182"/>
      <c r="U901" s="182"/>
    </row>
    <row r="902" spans="20:21" ht="15.75" customHeight="1" x14ac:dyDescent="0.4">
      <c r="T902" s="182"/>
      <c r="U902" s="182"/>
    </row>
    <row r="903" spans="20:21" ht="15.75" customHeight="1" x14ac:dyDescent="0.4">
      <c r="T903" s="182"/>
      <c r="U903" s="182"/>
    </row>
    <row r="904" spans="20:21" ht="15.75" customHeight="1" x14ac:dyDescent="0.4">
      <c r="T904" s="182"/>
      <c r="U904" s="182"/>
    </row>
    <row r="905" spans="20:21" ht="15.75" customHeight="1" x14ac:dyDescent="0.4">
      <c r="T905" s="182"/>
      <c r="U905" s="182"/>
    </row>
    <row r="906" spans="20:21" ht="15.75" customHeight="1" x14ac:dyDescent="0.4">
      <c r="T906" s="182"/>
      <c r="U906" s="182"/>
    </row>
    <row r="907" spans="20:21" ht="15.75" customHeight="1" x14ac:dyDescent="0.4">
      <c r="T907" s="182"/>
      <c r="U907" s="182"/>
    </row>
    <row r="908" spans="20:21" ht="15.75" customHeight="1" x14ac:dyDescent="0.4">
      <c r="T908" s="182"/>
      <c r="U908" s="182"/>
    </row>
    <row r="909" spans="20:21" ht="15.75" customHeight="1" x14ac:dyDescent="0.4">
      <c r="T909" s="182"/>
      <c r="U909" s="182"/>
    </row>
    <row r="910" spans="20:21" ht="15.75" customHeight="1" x14ac:dyDescent="0.4">
      <c r="T910" s="182"/>
      <c r="U910" s="182"/>
    </row>
    <row r="911" spans="20:21" ht="15.75" customHeight="1" x14ac:dyDescent="0.4">
      <c r="T911" s="182"/>
      <c r="U911" s="182"/>
    </row>
    <row r="912" spans="20:21" ht="15.75" customHeight="1" x14ac:dyDescent="0.4">
      <c r="T912" s="182"/>
      <c r="U912" s="182"/>
    </row>
    <row r="913" spans="20:21" ht="15.75" customHeight="1" x14ac:dyDescent="0.4">
      <c r="T913" s="182"/>
      <c r="U913" s="182"/>
    </row>
    <row r="914" spans="20:21" ht="15.75" customHeight="1" x14ac:dyDescent="0.4">
      <c r="T914" s="182"/>
      <c r="U914" s="182"/>
    </row>
    <row r="915" spans="20:21" ht="15.75" customHeight="1" x14ac:dyDescent="0.4">
      <c r="T915" s="182"/>
      <c r="U915" s="182"/>
    </row>
    <row r="916" spans="20:21" ht="15.75" customHeight="1" x14ac:dyDescent="0.4">
      <c r="T916" s="182"/>
      <c r="U916" s="182"/>
    </row>
    <row r="917" spans="20:21" ht="15.75" customHeight="1" x14ac:dyDescent="0.4">
      <c r="T917" s="182"/>
      <c r="U917" s="182"/>
    </row>
    <row r="918" spans="20:21" ht="15.75" customHeight="1" x14ac:dyDescent="0.4">
      <c r="T918" s="182"/>
      <c r="U918" s="182"/>
    </row>
    <row r="919" spans="20:21" ht="15.75" customHeight="1" x14ac:dyDescent="0.4">
      <c r="T919" s="182"/>
      <c r="U919" s="182"/>
    </row>
    <row r="920" spans="20:21" ht="15.75" customHeight="1" x14ac:dyDescent="0.4">
      <c r="T920" s="182"/>
      <c r="U920" s="182"/>
    </row>
    <row r="921" spans="20:21" ht="15.75" customHeight="1" x14ac:dyDescent="0.4">
      <c r="T921" s="182"/>
      <c r="U921" s="182"/>
    </row>
    <row r="922" spans="20:21" ht="15.75" customHeight="1" x14ac:dyDescent="0.4">
      <c r="T922" s="182"/>
      <c r="U922" s="182"/>
    </row>
    <row r="923" spans="20:21" ht="15.75" customHeight="1" x14ac:dyDescent="0.4">
      <c r="T923" s="182"/>
      <c r="U923" s="182"/>
    </row>
    <row r="924" spans="20:21" ht="15.75" customHeight="1" x14ac:dyDescent="0.4">
      <c r="T924" s="182"/>
      <c r="U924" s="182"/>
    </row>
    <row r="925" spans="20:21" ht="15.75" customHeight="1" x14ac:dyDescent="0.4">
      <c r="T925" s="182"/>
      <c r="U925" s="182"/>
    </row>
    <row r="926" spans="20:21" ht="15.75" customHeight="1" x14ac:dyDescent="0.4">
      <c r="T926" s="182"/>
      <c r="U926" s="182"/>
    </row>
    <row r="927" spans="20:21" ht="15.75" customHeight="1" x14ac:dyDescent="0.4">
      <c r="T927" s="182"/>
      <c r="U927" s="182"/>
    </row>
    <row r="928" spans="20:21" ht="15.75" customHeight="1" x14ac:dyDescent="0.4">
      <c r="T928" s="182"/>
      <c r="U928" s="182"/>
    </row>
    <row r="929" spans="20:21" ht="15.75" customHeight="1" x14ac:dyDescent="0.4">
      <c r="T929" s="182"/>
      <c r="U929" s="182"/>
    </row>
    <row r="930" spans="20:21" ht="15.75" customHeight="1" x14ac:dyDescent="0.4">
      <c r="T930" s="182"/>
      <c r="U930" s="182"/>
    </row>
    <row r="931" spans="20:21" ht="15.75" customHeight="1" x14ac:dyDescent="0.4">
      <c r="T931" s="182"/>
      <c r="U931" s="182"/>
    </row>
    <row r="932" spans="20:21" ht="15.75" customHeight="1" x14ac:dyDescent="0.4">
      <c r="T932" s="182"/>
      <c r="U932" s="182"/>
    </row>
    <row r="933" spans="20:21" ht="15.75" customHeight="1" x14ac:dyDescent="0.4">
      <c r="T933" s="182"/>
      <c r="U933" s="182"/>
    </row>
    <row r="934" spans="20:21" ht="15.75" customHeight="1" x14ac:dyDescent="0.4">
      <c r="T934" s="182"/>
      <c r="U934" s="182"/>
    </row>
    <row r="935" spans="20:21" ht="15.75" customHeight="1" x14ac:dyDescent="0.4">
      <c r="T935" s="182"/>
      <c r="U935" s="182"/>
    </row>
    <row r="936" spans="20:21" ht="15.75" customHeight="1" x14ac:dyDescent="0.4">
      <c r="T936" s="182"/>
      <c r="U936" s="182"/>
    </row>
    <row r="937" spans="20:21" ht="15.75" customHeight="1" x14ac:dyDescent="0.4">
      <c r="T937" s="182"/>
      <c r="U937" s="182"/>
    </row>
    <row r="938" spans="20:21" ht="15.75" customHeight="1" x14ac:dyDescent="0.4">
      <c r="T938" s="182"/>
      <c r="U938" s="182"/>
    </row>
    <row r="939" spans="20:21" ht="15.75" customHeight="1" x14ac:dyDescent="0.4">
      <c r="T939" s="182"/>
      <c r="U939" s="182"/>
    </row>
    <row r="940" spans="20:21" ht="15.75" customHeight="1" x14ac:dyDescent="0.4">
      <c r="T940" s="182"/>
      <c r="U940" s="182"/>
    </row>
    <row r="941" spans="20:21" ht="15.75" customHeight="1" x14ac:dyDescent="0.4">
      <c r="T941" s="182"/>
      <c r="U941" s="182"/>
    </row>
    <row r="942" spans="20:21" ht="15.75" customHeight="1" x14ac:dyDescent="0.4">
      <c r="T942" s="182"/>
      <c r="U942" s="182"/>
    </row>
    <row r="943" spans="20:21" ht="15.75" customHeight="1" x14ac:dyDescent="0.4">
      <c r="T943" s="182"/>
      <c r="U943" s="182"/>
    </row>
    <row r="944" spans="20:21" ht="15.75" customHeight="1" x14ac:dyDescent="0.4">
      <c r="T944" s="182"/>
      <c r="U944" s="182"/>
    </row>
    <row r="945" spans="20:21" ht="15.75" customHeight="1" x14ac:dyDescent="0.4">
      <c r="T945" s="182"/>
      <c r="U945" s="182"/>
    </row>
    <row r="946" spans="20:21" ht="15.75" customHeight="1" x14ac:dyDescent="0.4">
      <c r="T946" s="182"/>
      <c r="U946" s="182"/>
    </row>
    <row r="947" spans="20:21" ht="15.75" customHeight="1" x14ac:dyDescent="0.4">
      <c r="T947" s="182"/>
      <c r="U947" s="182"/>
    </row>
    <row r="948" spans="20:21" ht="15.75" customHeight="1" x14ac:dyDescent="0.4">
      <c r="T948" s="182"/>
      <c r="U948" s="182"/>
    </row>
    <row r="949" spans="20:21" ht="15.75" customHeight="1" x14ac:dyDescent="0.4">
      <c r="T949" s="182"/>
      <c r="U949" s="182"/>
    </row>
    <row r="950" spans="20:21" ht="15.75" customHeight="1" x14ac:dyDescent="0.4">
      <c r="T950" s="182"/>
      <c r="U950" s="182"/>
    </row>
    <row r="951" spans="20:21" ht="15.75" customHeight="1" x14ac:dyDescent="0.4">
      <c r="T951" s="182"/>
      <c r="U951" s="182"/>
    </row>
    <row r="952" spans="20:21" ht="15.75" customHeight="1" x14ac:dyDescent="0.4">
      <c r="T952" s="182"/>
      <c r="U952" s="182"/>
    </row>
    <row r="953" spans="20:21" ht="15.75" customHeight="1" x14ac:dyDescent="0.4">
      <c r="T953" s="182"/>
      <c r="U953" s="182"/>
    </row>
    <row r="954" spans="20:21" ht="15.75" customHeight="1" x14ac:dyDescent="0.4">
      <c r="T954" s="182"/>
      <c r="U954" s="182"/>
    </row>
    <row r="955" spans="20:21" ht="15.75" customHeight="1" x14ac:dyDescent="0.4">
      <c r="T955" s="182"/>
      <c r="U955" s="182"/>
    </row>
    <row r="956" spans="20:21" ht="15.75" customHeight="1" x14ac:dyDescent="0.4">
      <c r="T956" s="182"/>
      <c r="U956" s="182"/>
    </row>
    <row r="957" spans="20:21" ht="15.75" customHeight="1" x14ac:dyDescent="0.4">
      <c r="T957" s="182"/>
      <c r="U957" s="182"/>
    </row>
    <row r="958" spans="20:21" ht="15.75" customHeight="1" x14ac:dyDescent="0.4">
      <c r="T958" s="182"/>
      <c r="U958" s="182"/>
    </row>
    <row r="959" spans="20:21" ht="15.75" customHeight="1" x14ac:dyDescent="0.4">
      <c r="T959" s="182"/>
      <c r="U959" s="182"/>
    </row>
    <row r="960" spans="20:21" ht="15.75" customHeight="1" x14ac:dyDescent="0.4">
      <c r="T960" s="182"/>
      <c r="U960" s="182"/>
    </row>
    <row r="961" spans="20:21" ht="15.75" customHeight="1" x14ac:dyDescent="0.4">
      <c r="T961" s="182"/>
      <c r="U961" s="182"/>
    </row>
    <row r="962" spans="20:21" ht="15.75" customHeight="1" x14ac:dyDescent="0.4">
      <c r="T962" s="182"/>
      <c r="U962" s="182"/>
    </row>
    <row r="963" spans="20:21" ht="15.75" customHeight="1" x14ac:dyDescent="0.4">
      <c r="T963" s="182"/>
      <c r="U963" s="182"/>
    </row>
    <row r="964" spans="20:21" ht="15.75" customHeight="1" x14ac:dyDescent="0.4">
      <c r="T964" s="182"/>
      <c r="U964" s="182"/>
    </row>
    <row r="965" spans="20:21" ht="15.75" customHeight="1" x14ac:dyDescent="0.4">
      <c r="T965" s="182"/>
      <c r="U965" s="182"/>
    </row>
    <row r="966" spans="20:21" ht="15.75" customHeight="1" x14ac:dyDescent="0.4">
      <c r="T966" s="182"/>
      <c r="U966" s="182"/>
    </row>
    <row r="967" spans="20:21" ht="15.75" customHeight="1" x14ac:dyDescent="0.4">
      <c r="T967" s="182"/>
      <c r="U967" s="182"/>
    </row>
    <row r="968" spans="20:21" ht="15.75" customHeight="1" x14ac:dyDescent="0.4">
      <c r="T968" s="182"/>
      <c r="U968" s="182"/>
    </row>
    <row r="969" spans="20:21" ht="15.75" customHeight="1" x14ac:dyDescent="0.4">
      <c r="T969" s="182"/>
      <c r="U969" s="182"/>
    </row>
    <row r="970" spans="20:21" ht="15.75" customHeight="1" x14ac:dyDescent="0.4">
      <c r="T970" s="182"/>
      <c r="U970" s="182"/>
    </row>
    <row r="971" spans="20:21" ht="15.75" customHeight="1" x14ac:dyDescent="0.4">
      <c r="T971" s="182"/>
      <c r="U971" s="182"/>
    </row>
    <row r="972" spans="20:21" ht="15.75" customHeight="1" x14ac:dyDescent="0.4">
      <c r="T972" s="182"/>
      <c r="U972" s="182"/>
    </row>
    <row r="973" spans="20:21" ht="15.75" customHeight="1" x14ac:dyDescent="0.4">
      <c r="T973" s="182"/>
      <c r="U973" s="182"/>
    </row>
    <row r="974" spans="20:21" ht="15.75" customHeight="1" x14ac:dyDescent="0.4">
      <c r="T974" s="182"/>
      <c r="U974" s="182"/>
    </row>
    <row r="975" spans="20:21" ht="15.75" customHeight="1" x14ac:dyDescent="0.4">
      <c r="T975" s="182"/>
      <c r="U975" s="182"/>
    </row>
    <row r="976" spans="20:21" ht="15.75" customHeight="1" x14ac:dyDescent="0.4">
      <c r="T976" s="182"/>
      <c r="U976" s="182"/>
    </row>
    <row r="977" spans="20:21" ht="15.75" customHeight="1" x14ac:dyDescent="0.4">
      <c r="T977" s="182"/>
      <c r="U977" s="182"/>
    </row>
    <row r="978" spans="20:21" ht="15.75" customHeight="1" x14ac:dyDescent="0.4">
      <c r="T978" s="182"/>
      <c r="U978" s="182"/>
    </row>
    <row r="979" spans="20:21" ht="15.75" customHeight="1" x14ac:dyDescent="0.4">
      <c r="T979" s="182"/>
      <c r="U979" s="182"/>
    </row>
    <row r="980" spans="20:21" ht="15.75" customHeight="1" x14ac:dyDescent="0.4">
      <c r="T980" s="182"/>
      <c r="U980" s="182"/>
    </row>
    <row r="981" spans="20:21" ht="15.75" customHeight="1" x14ac:dyDescent="0.4">
      <c r="T981" s="182"/>
      <c r="U981" s="182"/>
    </row>
    <row r="982" spans="20:21" ht="15.75" customHeight="1" x14ac:dyDescent="0.4">
      <c r="T982" s="182"/>
      <c r="U982" s="182"/>
    </row>
    <row r="983" spans="20:21" ht="15.75" customHeight="1" x14ac:dyDescent="0.4">
      <c r="T983" s="182"/>
      <c r="U983" s="182"/>
    </row>
    <row r="984" spans="20:21" ht="15.75" customHeight="1" x14ac:dyDescent="0.4">
      <c r="T984" s="182"/>
      <c r="U984" s="182"/>
    </row>
    <row r="985" spans="20:21" ht="15.75" customHeight="1" x14ac:dyDescent="0.4">
      <c r="T985" s="182"/>
      <c r="U985" s="182"/>
    </row>
    <row r="986" spans="20:21" ht="15.75" customHeight="1" x14ac:dyDescent="0.4">
      <c r="T986" s="182"/>
      <c r="U986" s="182"/>
    </row>
    <row r="987" spans="20:21" ht="15.75" customHeight="1" x14ac:dyDescent="0.4">
      <c r="T987" s="182"/>
      <c r="U987" s="182"/>
    </row>
    <row r="988" spans="20:21" ht="15.75" customHeight="1" x14ac:dyDescent="0.4">
      <c r="T988" s="182"/>
      <c r="U988" s="182"/>
    </row>
    <row r="989" spans="20:21" ht="15.75" customHeight="1" x14ac:dyDescent="0.4">
      <c r="T989" s="182"/>
      <c r="U989" s="182"/>
    </row>
    <row r="990" spans="20:21" ht="15.75" customHeight="1" x14ac:dyDescent="0.4">
      <c r="T990" s="182"/>
      <c r="U990" s="182"/>
    </row>
    <row r="991" spans="20:21" ht="15.75" customHeight="1" x14ac:dyDescent="0.4">
      <c r="T991" s="182"/>
      <c r="U991" s="182"/>
    </row>
    <row r="992" spans="20:21" ht="15.75" customHeight="1" x14ac:dyDescent="0.4">
      <c r="T992" s="182"/>
      <c r="U992" s="182"/>
    </row>
    <row r="993" spans="20:21" ht="15.75" customHeight="1" x14ac:dyDescent="0.4">
      <c r="T993" s="182"/>
      <c r="U993" s="182"/>
    </row>
    <row r="994" spans="20:21" ht="15.75" customHeight="1" x14ac:dyDescent="0.4">
      <c r="T994" s="182"/>
      <c r="U994" s="182"/>
    </row>
    <row r="995" spans="20:21" ht="15.75" customHeight="1" x14ac:dyDescent="0.4">
      <c r="T995" s="182"/>
      <c r="U995" s="182"/>
    </row>
    <row r="996" spans="20:21" ht="15.75" customHeight="1" x14ac:dyDescent="0.4">
      <c r="T996" s="182"/>
      <c r="U996" s="182"/>
    </row>
    <row r="997" spans="20:21" ht="15.75" customHeight="1" x14ac:dyDescent="0.4">
      <c r="T997" s="182"/>
      <c r="U997" s="182"/>
    </row>
    <row r="998" spans="20:21" ht="15.75" customHeight="1" x14ac:dyDescent="0.4">
      <c r="T998" s="182"/>
      <c r="U998" s="182"/>
    </row>
    <row r="999" spans="20:21" ht="15.75" customHeight="1" x14ac:dyDescent="0.4">
      <c r="T999" s="182"/>
      <c r="U999" s="182"/>
    </row>
    <row r="1000" spans="20:21" ht="15.75" customHeight="1" x14ac:dyDescent="0.4">
      <c r="T1000" s="182"/>
      <c r="U1000" s="182"/>
    </row>
  </sheetData>
  <autoFilter ref="C7:R603" xr:uid="{00000000-0009-0000-0000-000007000000}"/>
  <mergeCells count="4">
    <mergeCell ref="C1:R1"/>
    <mergeCell ref="C2:R2"/>
    <mergeCell ref="F4:O4"/>
    <mergeCell ref="P4:R4"/>
  </mergeCells>
  <pageMargins left="0.25" right="0.25" top="0.75" bottom="0.75" header="0" footer="0"/>
  <pageSetup scale="95" orientation="portrait" r:id="rId1"/>
  <rowBreaks count="13" manualBreakCount="13">
    <brk id="24" max="17" man="1"/>
    <brk id="76" max="17" man="1"/>
    <brk id="127" max="17" man="1"/>
    <brk id="178" max="17" man="1"/>
    <brk id="229" max="17" man="1"/>
    <brk id="246" max="17" man="1"/>
    <brk id="296" max="17" man="1"/>
    <brk id="347" max="17" man="1"/>
    <brk id="398" max="17" man="1"/>
    <brk id="449" max="17" man="1"/>
    <brk id="500" max="17" man="1"/>
    <brk id="551" max="17" man="1"/>
    <brk id="60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topLeftCell="C1" zoomScaleNormal="100" workbookViewId="0">
      <pane ySplit="7" topLeftCell="A8" activePane="bottomLeft" state="frozen"/>
      <selection pane="bottomLeft" activeCell="C4" sqref="C4"/>
    </sheetView>
  </sheetViews>
  <sheetFormatPr defaultColWidth="14.453125" defaultRowHeight="15" customHeight="1" x14ac:dyDescent="0.4"/>
  <cols>
    <col min="1" max="1" width="0.1796875" hidden="1" customWidth="1"/>
    <col min="2" max="2" width="14.453125" hidden="1"/>
    <col min="3" max="3" width="9.453125" customWidth="1"/>
    <col min="4" max="4" width="20" customWidth="1"/>
    <col min="5" max="5" width="7" customWidth="1"/>
    <col min="6" max="6" width="4.453125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customWidth="1"/>
    <col min="21" max="21" width="7.81640625" customWidth="1"/>
  </cols>
  <sheetData>
    <row r="1" spans="1:26" ht="14.5" x14ac:dyDescent="0.4">
      <c r="C1" s="532" t="str">
        <f>'University-wide'!A1</f>
        <v>University of California, San Diego Survey of Parking Space Occupancy Levels, Spring 2022</v>
      </c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T1" s="182"/>
      <c r="U1" s="182"/>
    </row>
    <row r="2" spans="1:26" ht="14.5" x14ac:dyDescent="0.4">
      <c r="C2" s="532" t="s">
        <v>512</v>
      </c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T2" s="182"/>
      <c r="U2" s="182"/>
    </row>
    <row r="3" spans="1:26" ht="14.5" x14ac:dyDescent="0.4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182"/>
      <c r="U3" s="182"/>
    </row>
    <row r="4" spans="1:26" ht="14.5" x14ac:dyDescent="0.4">
      <c r="C4" s="42" t="s">
        <v>45</v>
      </c>
      <c r="D4" s="42" t="s">
        <v>280</v>
      </c>
      <c r="E4" s="42" t="s">
        <v>280</v>
      </c>
      <c r="F4" s="516" t="s">
        <v>281</v>
      </c>
      <c r="G4" s="517"/>
      <c r="H4" s="517"/>
      <c r="I4" s="517"/>
      <c r="J4" s="517"/>
      <c r="K4" s="517"/>
      <c r="L4" s="517"/>
      <c r="M4" s="517"/>
      <c r="N4" s="517"/>
      <c r="O4" s="518"/>
      <c r="P4" s="516" t="s">
        <v>282</v>
      </c>
      <c r="Q4" s="517"/>
      <c r="R4" s="518"/>
      <c r="T4" s="182"/>
      <c r="U4" s="182"/>
    </row>
    <row r="5" spans="1:26" ht="9.75" customHeight="1" x14ac:dyDescent="0.4">
      <c r="C5" s="43"/>
      <c r="D5" s="43" t="s">
        <v>283</v>
      </c>
      <c r="E5" s="43" t="s">
        <v>284</v>
      </c>
      <c r="F5" s="44" t="s">
        <v>285</v>
      </c>
      <c r="G5" s="45" t="s">
        <v>286</v>
      </c>
      <c r="H5" s="45" t="s">
        <v>287</v>
      </c>
      <c r="I5" s="45" t="s">
        <v>288</v>
      </c>
      <c r="J5" s="45" t="s">
        <v>289</v>
      </c>
      <c r="K5" s="45" t="s">
        <v>290</v>
      </c>
      <c r="L5" s="45" t="s">
        <v>291</v>
      </c>
      <c r="M5" s="45" t="s">
        <v>292</v>
      </c>
      <c r="N5" s="45" t="s">
        <v>293</v>
      </c>
      <c r="O5" s="46" t="s">
        <v>294</v>
      </c>
      <c r="P5" s="47" t="s">
        <v>295</v>
      </c>
      <c r="Q5" s="48" t="s">
        <v>296</v>
      </c>
      <c r="R5" s="49" t="s">
        <v>297</v>
      </c>
      <c r="T5" s="182"/>
      <c r="U5" s="182"/>
    </row>
    <row r="6" spans="1:26" ht="9.75" customHeight="1" x14ac:dyDescent="0.4">
      <c r="B6" s="219" t="s">
        <v>394</v>
      </c>
      <c r="C6" s="50"/>
      <c r="D6" s="50"/>
      <c r="E6" s="50"/>
      <c r="F6" s="51" t="s">
        <v>298</v>
      </c>
      <c r="G6" s="52" t="s">
        <v>298</v>
      </c>
      <c r="H6" s="52" t="s">
        <v>298</v>
      </c>
      <c r="I6" s="52" t="s">
        <v>298</v>
      </c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3" t="s">
        <v>299</v>
      </c>
      <c r="P6" s="51" t="s">
        <v>284</v>
      </c>
      <c r="Q6" s="52" t="s">
        <v>284</v>
      </c>
      <c r="R6" s="53" t="s">
        <v>296</v>
      </c>
      <c r="T6" s="182"/>
      <c r="U6" s="182"/>
    </row>
    <row r="7" spans="1:26" ht="14.5" hidden="1" x14ac:dyDescent="0.4">
      <c r="A7" s="1"/>
      <c r="B7" s="1"/>
      <c r="C7" s="185" t="s">
        <v>45</v>
      </c>
      <c r="D7" s="46" t="s">
        <v>356</v>
      </c>
      <c r="E7" s="46" t="s">
        <v>357</v>
      </c>
      <c r="F7" s="45" t="s">
        <v>358</v>
      </c>
      <c r="G7" s="45" t="s">
        <v>359</v>
      </c>
      <c r="H7" s="45" t="s">
        <v>360</v>
      </c>
      <c r="I7" s="45" t="s">
        <v>361</v>
      </c>
      <c r="J7" s="45" t="s">
        <v>362</v>
      </c>
      <c r="K7" s="45" t="s">
        <v>363</v>
      </c>
      <c r="L7" s="45" t="s">
        <v>364</v>
      </c>
      <c r="M7" s="45" t="s">
        <v>365</v>
      </c>
      <c r="N7" s="45" t="s">
        <v>366</v>
      </c>
      <c r="O7" s="46" t="s">
        <v>367</v>
      </c>
      <c r="P7" s="45" t="s">
        <v>295</v>
      </c>
      <c r="Q7" s="45" t="s">
        <v>296</v>
      </c>
      <c r="R7" s="46" t="s">
        <v>368</v>
      </c>
      <c r="S7" s="1"/>
      <c r="T7" s="182"/>
      <c r="U7" s="182"/>
      <c r="V7" s="1"/>
      <c r="W7" s="1"/>
      <c r="X7" s="1"/>
      <c r="Y7" s="1"/>
      <c r="Z7" s="1"/>
    </row>
    <row r="8" spans="1:26" ht="9.75" customHeight="1" x14ac:dyDescent="0.4">
      <c r="C8" s="121" t="s">
        <v>66</v>
      </c>
      <c r="D8" s="57" t="s">
        <v>300</v>
      </c>
      <c r="E8" s="57"/>
      <c r="F8" s="56"/>
      <c r="G8" s="56"/>
      <c r="H8" s="56"/>
      <c r="I8" s="56"/>
      <c r="J8" s="56"/>
      <c r="K8" s="56"/>
      <c r="L8" s="56"/>
      <c r="M8" s="56"/>
      <c r="N8" s="56"/>
      <c r="O8" s="57"/>
      <c r="P8" s="56"/>
      <c r="Q8" s="56"/>
      <c r="R8" s="188"/>
      <c r="T8" s="182"/>
      <c r="U8" s="182"/>
    </row>
    <row r="9" spans="1:26" ht="9.75" customHeight="1" x14ac:dyDescent="0.4">
      <c r="C9" s="17"/>
      <c r="D9" s="60" t="s">
        <v>301</v>
      </c>
      <c r="E9" s="60"/>
      <c r="F9" s="58"/>
      <c r="G9" s="58"/>
      <c r="H9" s="58"/>
      <c r="I9" s="58"/>
      <c r="J9" s="58"/>
      <c r="K9" s="58"/>
      <c r="L9" s="58"/>
      <c r="M9" s="58"/>
      <c r="N9" s="58"/>
      <c r="O9" s="60"/>
      <c r="P9" s="58"/>
      <c r="Q9" s="58"/>
      <c r="R9" s="59"/>
      <c r="T9" s="182"/>
      <c r="U9" s="182"/>
    </row>
    <row r="10" spans="1:26" ht="9.75" customHeight="1" x14ac:dyDescent="0.4">
      <c r="C10" s="17"/>
      <c r="D10" s="60" t="s">
        <v>303</v>
      </c>
      <c r="E10" s="60"/>
      <c r="F10" s="58"/>
      <c r="G10" s="58"/>
      <c r="H10" s="58"/>
      <c r="I10" s="58"/>
      <c r="J10" s="58"/>
      <c r="K10" s="58"/>
      <c r="L10" s="58"/>
      <c r="M10" s="58"/>
      <c r="N10" s="58"/>
      <c r="O10" s="60"/>
      <c r="P10" s="58"/>
      <c r="Q10" s="58"/>
      <c r="R10" s="59"/>
      <c r="T10" s="182"/>
      <c r="U10" s="182"/>
    </row>
    <row r="11" spans="1:26" ht="9.75" customHeight="1" x14ac:dyDescent="0.4">
      <c r="C11" s="17"/>
      <c r="D11" s="60" t="s">
        <v>409</v>
      </c>
      <c r="E11" s="123">
        <v>19</v>
      </c>
      <c r="F11" s="74">
        <v>19</v>
      </c>
      <c r="G11" s="74">
        <v>17</v>
      </c>
      <c r="H11" s="74">
        <v>18</v>
      </c>
      <c r="I11" s="74">
        <v>18</v>
      </c>
      <c r="J11" s="74">
        <v>18</v>
      </c>
      <c r="K11" s="74">
        <v>18</v>
      </c>
      <c r="L11" s="74">
        <v>19</v>
      </c>
      <c r="M11" s="74">
        <v>18</v>
      </c>
      <c r="N11" s="74">
        <v>18</v>
      </c>
      <c r="O11" s="123">
        <v>18</v>
      </c>
      <c r="P11" s="74">
        <f>MIN(F11:O11)</f>
        <v>17</v>
      </c>
      <c r="Q11" s="74">
        <f>E11-P11</f>
        <v>2</v>
      </c>
      <c r="R11" s="75">
        <f>Q11/E11</f>
        <v>0.10526315789473684</v>
      </c>
      <c r="T11" s="182"/>
      <c r="U11" s="182"/>
    </row>
    <row r="12" spans="1:26" ht="9.75" customHeight="1" x14ac:dyDescent="0.4">
      <c r="C12" s="27"/>
      <c r="D12" s="60" t="s">
        <v>369</v>
      </c>
      <c r="E12" s="60"/>
      <c r="F12" s="58"/>
      <c r="G12" s="58"/>
      <c r="H12" s="58"/>
      <c r="I12" s="58"/>
      <c r="J12" s="58"/>
      <c r="K12" s="58"/>
      <c r="L12" s="58"/>
      <c r="M12" s="58"/>
      <c r="N12" s="58"/>
      <c r="O12" s="60"/>
      <c r="P12" s="58"/>
      <c r="Q12" s="58"/>
      <c r="R12" s="59"/>
      <c r="T12" s="182"/>
      <c r="U12" s="182"/>
    </row>
    <row r="13" spans="1:26" ht="9.75" customHeight="1" x14ac:dyDescent="0.4">
      <c r="C13" s="27"/>
      <c r="D13" s="60" t="s">
        <v>308</v>
      </c>
      <c r="E13" s="60"/>
      <c r="F13" s="58"/>
      <c r="G13" s="58"/>
      <c r="H13" s="58"/>
      <c r="I13" s="58"/>
      <c r="J13" s="58"/>
      <c r="K13" s="58"/>
      <c r="L13" s="58"/>
      <c r="M13" s="58"/>
      <c r="N13" s="58"/>
      <c r="O13" s="60"/>
      <c r="P13" s="58"/>
      <c r="Q13" s="58"/>
      <c r="R13" s="59"/>
      <c r="T13" s="182"/>
      <c r="U13" s="182"/>
    </row>
    <row r="14" spans="1:26" ht="9.75" customHeight="1" x14ac:dyDescent="0.4">
      <c r="C14" s="27"/>
      <c r="D14" s="60" t="s">
        <v>513</v>
      </c>
      <c r="E14" s="60">
        <v>22</v>
      </c>
      <c r="F14" s="58">
        <v>20</v>
      </c>
      <c r="G14" s="58">
        <v>19</v>
      </c>
      <c r="H14" s="58">
        <v>19</v>
      </c>
      <c r="I14" s="58">
        <v>19</v>
      </c>
      <c r="J14" s="58">
        <v>19</v>
      </c>
      <c r="K14" s="58">
        <v>18</v>
      </c>
      <c r="L14" s="58">
        <v>18</v>
      </c>
      <c r="M14" s="58">
        <v>20</v>
      </c>
      <c r="N14" s="58">
        <v>21</v>
      </c>
      <c r="O14" s="60">
        <v>21</v>
      </c>
      <c r="P14" s="58">
        <f>MIN(F14:O14)</f>
        <v>18</v>
      </c>
      <c r="Q14" s="58">
        <f>E14-P14</f>
        <v>4</v>
      </c>
      <c r="R14" s="59">
        <f>Q14/E14</f>
        <v>0.18181818181818182</v>
      </c>
      <c r="T14" s="182"/>
      <c r="U14" s="182"/>
    </row>
    <row r="15" spans="1:26" ht="9.75" customHeight="1" x14ac:dyDescent="0.4">
      <c r="C15" s="27"/>
      <c r="D15" s="60" t="s">
        <v>374</v>
      </c>
      <c r="E15" s="60"/>
      <c r="F15" s="58"/>
      <c r="G15" s="58"/>
      <c r="H15" s="58"/>
      <c r="I15" s="58"/>
      <c r="J15" s="58"/>
      <c r="K15" s="58"/>
      <c r="L15" s="58"/>
      <c r="M15" s="58"/>
      <c r="N15" s="58"/>
      <c r="O15" s="60"/>
      <c r="P15" s="58"/>
      <c r="Q15" s="58"/>
      <c r="R15" s="59"/>
      <c r="T15" s="182"/>
      <c r="U15" s="182"/>
    </row>
    <row r="16" spans="1:26" ht="9.75" customHeight="1" x14ac:dyDescent="0.4">
      <c r="C16" s="27"/>
      <c r="D16" s="60" t="s">
        <v>374</v>
      </c>
      <c r="E16" s="60"/>
      <c r="F16" s="58"/>
      <c r="G16" s="58"/>
      <c r="H16" s="58"/>
      <c r="I16" s="58"/>
      <c r="J16" s="58"/>
      <c r="K16" s="58"/>
      <c r="L16" s="58"/>
      <c r="M16" s="58"/>
      <c r="N16" s="58"/>
      <c r="O16" s="60"/>
      <c r="P16" s="58"/>
      <c r="Q16" s="58"/>
      <c r="R16" s="59"/>
      <c r="T16" s="182"/>
      <c r="U16" s="182"/>
    </row>
    <row r="17" spans="2:21" ht="9.75" customHeight="1" x14ac:dyDescent="0.4">
      <c r="C17" s="27"/>
      <c r="D17" s="60" t="s">
        <v>374</v>
      </c>
      <c r="E17" s="60"/>
      <c r="F17" s="58"/>
      <c r="G17" s="58"/>
      <c r="H17" s="58"/>
      <c r="I17" s="58"/>
      <c r="J17" s="58"/>
      <c r="K17" s="58"/>
      <c r="L17" s="58"/>
      <c r="M17" s="58"/>
      <c r="N17" s="58"/>
      <c r="O17" s="60"/>
      <c r="P17" s="58"/>
      <c r="Q17" s="58"/>
      <c r="R17" s="59"/>
      <c r="T17" s="182"/>
      <c r="U17" s="182"/>
    </row>
    <row r="18" spans="2:21" ht="9.75" customHeight="1" x14ac:dyDescent="0.4">
      <c r="C18" s="27"/>
      <c r="D18" s="60" t="s">
        <v>374</v>
      </c>
      <c r="E18" s="60"/>
      <c r="F18" s="58"/>
      <c r="G18" s="58"/>
      <c r="H18" s="58"/>
      <c r="I18" s="58"/>
      <c r="J18" s="58"/>
      <c r="K18" s="58"/>
      <c r="L18" s="58"/>
      <c r="M18" s="58"/>
      <c r="N18" s="58"/>
      <c r="O18" s="60"/>
      <c r="P18" s="58"/>
      <c r="Q18" s="58"/>
      <c r="R18" s="59"/>
      <c r="T18" s="182"/>
      <c r="U18" s="182"/>
    </row>
    <row r="19" spans="2:21" ht="9.75" customHeight="1" x14ac:dyDescent="0.4">
      <c r="C19" s="27"/>
      <c r="D19" s="60" t="s">
        <v>374</v>
      </c>
      <c r="E19" s="60"/>
      <c r="F19" s="58"/>
      <c r="G19" s="58"/>
      <c r="H19" s="58"/>
      <c r="I19" s="58"/>
      <c r="J19" s="58"/>
      <c r="K19" s="58"/>
      <c r="L19" s="58"/>
      <c r="M19" s="58"/>
      <c r="N19" s="58"/>
      <c r="O19" s="60"/>
      <c r="P19" s="58"/>
      <c r="Q19" s="58"/>
      <c r="R19" s="59"/>
      <c r="T19" s="182"/>
      <c r="U19" s="182"/>
    </row>
    <row r="20" spans="2:21" ht="9.75" customHeight="1" x14ac:dyDescent="0.4">
      <c r="C20" s="27"/>
      <c r="D20" s="60" t="s">
        <v>310</v>
      </c>
      <c r="E20" s="60"/>
      <c r="F20" s="58"/>
      <c r="G20" s="58"/>
      <c r="H20" s="58"/>
      <c r="I20" s="58"/>
      <c r="J20" s="58"/>
      <c r="K20" s="58"/>
      <c r="L20" s="58"/>
      <c r="M20" s="58"/>
      <c r="N20" s="58"/>
      <c r="O20" s="60"/>
      <c r="P20" s="58"/>
      <c r="Q20" s="58"/>
      <c r="R20" s="59"/>
      <c r="T20" s="182"/>
      <c r="U20" s="182"/>
    </row>
    <row r="21" spans="2:21" ht="9.75" customHeight="1" x14ac:dyDescent="0.4">
      <c r="C21" s="27"/>
      <c r="D21" s="60" t="s">
        <v>311</v>
      </c>
      <c r="E21" s="60"/>
      <c r="F21" s="58"/>
      <c r="G21" s="58"/>
      <c r="H21" s="58"/>
      <c r="I21" s="58"/>
      <c r="J21" s="58"/>
      <c r="K21" s="58"/>
      <c r="L21" s="58"/>
      <c r="M21" s="58"/>
      <c r="N21" s="58"/>
      <c r="O21" s="60"/>
      <c r="P21" s="58"/>
      <c r="Q21" s="58"/>
      <c r="R21" s="59"/>
      <c r="T21" s="182"/>
      <c r="U21" s="182"/>
    </row>
    <row r="22" spans="2:21" ht="9.75" customHeight="1" x14ac:dyDescent="0.4">
      <c r="C22" s="27"/>
      <c r="D22" s="60" t="s">
        <v>312</v>
      </c>
      <c r="E22" s="60"/>
      <c r="F22" s="58"/>
      <c r="G22" s="58"/>
      <c r="H22" s="58"/>
      <c r="I22" s="58"/>
      <c r="J22" s="58"/>
      <c r="K22" s="58"/>
      <c r="L22" s="58"/>
      <c r="M22" s="58"/>
      <c r="N22" s="58"/>
      <c r="O22" s="60"/>
      <c r="P22" s="58"/>
      <c r="Q22" s="58"/>
      <c r="R22" s="59"/>
      <c r="T22" s="182"/>
      <c r="U22" s="182"/>
    </row>
    <row r="23" spans="2:21" ht="9.75" customHeight="1" x14ac:dyDescent="0.4">
      <c r="C23" s="27"/>
      <c r="D23" s="64" t="s">
        <v>313</v>
      </c>
      <c r="E23" s="64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63"/>
      <c r="Q23" s="63"/>
      <c r="R23" s="407"/>
      <c r="T23" s="182"/>
      <c r="U23" s="182"/>
    </row>
    <row r="24" spans="2:21" ht="9.75" customHeight="1" x14ac:dyDescent="0.4">
      <c r="B24" s="219" t="s">
        <v>395</v>
      </c>
      <c r="C24" s="125"/>
      <c r="D24" s="69" t="s">
        <v>314</v>
      </c>
      <c r="E24" s="408">
        <f t="shared" ref="E24:O24" si="0">SUM(E8:E23)</f>
        <v>41</v>
      </c>
      <c r="F24" s="409">
        <f t="shared" si="0"/>
        <v>39</v>
      </c>
      <c r="G24" s="409">
        <f t="shared" si="0"/>
        <v>36</v>
      </c>
      <c r="H24" s="409">
        <f t="shared" si="0"/>
        <v>37</v>
      </c>
      <c r="I24" s="409">
        <f t="shared" si="0"/>
        <v>37</v>
      </c>
      <c r="J24" s="409">
        <f t="shared" si="0"/>
        <v>37</v>
      </c>
      <c r="K24" s="409">
        <f t="shared" si="0"/>
        <v>36</v>
      </c>
      <c r="L24" s="409">
        <f t="shared" si="0"/>
        <v>37</v>
      </c>
      <c r="M24" s="409">
        <f t="shared" si="0"/>
        <v>38</v>
      </c>
      <c r="N24" s="409">
        <f t="shared" si="0"/>
        <v>39</v>
      </c>
      <c r="O24" s="408">
        <f t="shared" si="0"/>
        <v>39</v>
      </c>
      <c r="P24" s="409">
        <f>MIN(F24:O24)</f>
        <v>36</v>
      </c>
      <c r="Q24" s="409">
        <f>E24-P24</f>
        <v>5</v>
      </c>
      <c r="R24" s="410">
        <f>Q24/E24</f>
        <v>0.12195121951219512</v>
      </c>
      <c r="T24" s="182"/>
      <c r="U24" s="182"/>
    </row>
    <row r="25" spans="2:21" ht="9.75" customHeight="1" x14ac:dyDescent="0.4">
      <c r="C25" s="27" t="s">
        <v>87</v>
      </c>
      <c r="D25" s="60" t="s">
        <v>300</v>
      </c>
      <c r="E25" s="60"/>
      <c r="F25" s="58"/>
      <c r="G25" s="58"/>
      <c r="H25" s="58"/>
      <c r="I25" s="58"/>
      <c r="J25" s="58"/>
      <c r="K25" s="58"/>
      <c r="L25" s="58"/>
      <c r="M25" s="58"/>
      <c r="N25" s="58"/>
      <c r="O25" s="60"/>
      <c r="P25" s="58"/>
      <c r="Q25" s="58"/>
      <c r="R25" s="59"/>
      <c r="T25" s="182"/>
      <c r="U25" s="182"/>
    </row>
    <row r="26" spans="2:21" ht="9.75" customHeight="1" x14ac:dyDescent="0.4">
      <c r="C26" s="17"/>
      <c r="D26" s="60" t="s">
        <v>301</v>
      </c>
      <c r="E26" s="60"/>
      <c r="F26" s="58"/>
      <c r="G26" s="58"/>
      <c r="H26" s="58"/>
      <c r="I26" s="58"/>
      <c r="J26" s="58"/>
      <c r="K26" s="58"/>
      <c r="L26" s="58"/>
      <c r="M26" s="58"/>
      <c r="N26" s="58"/>
      <c r="O26" s="60"/>
      <c r="P26" s="58"/>
      <c r="Q26" s="58"/>
      <c r="R26" s="59"/>
      <c r="T26" s="182"/>
      <c r="U26" s="182"/>
    </row>
    <row r="27" spans="2:21" ht="9.75" customHeight="1" x14ac:dyDescent="0.4">
      <c r="C27" s="17"/>
      <c r="D27" s="60" t="s">
        <v>303</v>
      </c>
      <c r="E27" s="60"/>
      <c r="F27" s="58"/>
      <c r="G27" s="58"/>
      <c r="H27" s="58"/>
      <c r="I27" s="58"/>
      <c r="J27" s="58"/>
      <c r="K27" s="58"/>
      <c r="L27" s="58"/>
      <c r="M27" s="58"/>
      <c r="N27" s="58"/>
      <c r="O27" s="60"/>
      <c r="P27" s="58"/>
      <c r="Q27" s="58"/>
      <c r="R27" s="59"/>
      <c r="T27" s="182"/>
      <c r="U27" s="182"/>
    </row>
    <row r="28" spans="2:21" ht="9.75" customHeight="1" x14ac:dyDescent="0.4">
      <c r="C28" s="17"/>
      <c r="D28" s="60" t="s">
        <v>409</v>
      </c>
      <c r="E28" s="123">
        <v>41</v>
      </c>
      <c r="F28" s="74">
        <v>39</v>
      </c>
      <c r="G28" s="74">
        <v>32</v>
      </c>
      <c r="H28" s="74">
        <v>14</v>
      </c>
      <c r="I28" s="74">
        <v>8</v>
      </c>
      <c r="J28" s="74">
        <v>14</v>
      </c>
      <c r="K28" s="74">
        <v>20</v>
      </c>
      <c r="L28" s="74">
        <v>18</v>
      </c>
      <c r="M28" s="74">
        <v>24</v>
      </c>
      <c r="N28" s="74">
        <v>27</v>
      </c>
      <c r="O28" s="123">
        <v>29</v>
      </c>
      <c r="P28" s="74">
        <f>MIN(F28:O28)</f>
        <v>8</v>
      </c>
      <c r="Q28" s="74">
        <f>E28-P28</f>
        <v>33</v>
      </c>
      <c r="R28" s="75">
        <f>Q28/E28</f>
        <v>0.80487804878048785</v>
      </c>
      <c r="T28" s="182"/>
      <c r="U28" s="182"/>
    </row>
    <row r="29" spans="2:21" ht="9.75" customHeight="1" x14ac:dyDescent="0.4">
      <c r="C29" s="27"/>
      <c r="D29" s="60" t="s">
        <v>369</v>
      </c>
      <c r="E29" s="60"/>
      <c r="F29" s="58"/>
      <c r="G29" s="58"/>
      <c r="H29" s="58"/>
      <c r="I29" s="58"/>
      <c r="J29" s="58"/>
      <c r="K29" s="58"/>
      <c r="L29" s="58"/>
      <c r="M29" s="58"/>
      <c r="N29" s="58"/>
      <c r="O29" s="60"/>
      <c r="P29" s="58"/>
      <c r="Q29" s="58"/>
      <c r="R29" s="59"/>
      <c r="T29" s="182"/>
      <c r="U29" s="182"/>
    </row>
    <row r="30" spans="2:21" ht="9.75" customHeight="1" x14ac:dyDescent="0.4">
      <c r="C30" s="27"/>
      <c r="D30" s="60" t="s">
        <v>308</v>
      </c>
      <c r="E30" s="60"/>
      <c r="F30" s="58"/>
      <c r="G30" s="58"/>
      <c r="H30" s="58"/>
      <c r="I30" s="58"/>
      <c r="J30" s="58"/>
      <c r="K30" s="58"/>
      <c r="L30" s="58"/>
      <c r="M30" s="58"/>
      <c r="N30" s="58"/>
      <c r="O30" s="60"/>
      <c r="P30" s="58"/>
      <c r="Q30" s="58"/>
      <c r="R30" s="59"/>
      <c r="T30" s="182"/>
      <c r="U30" s="182"/>
    </row>
    <row r="31" spans="2:21" ht="9.75" customHeight="1" x14ac:dyDescent="0.4">
      <c r="C31" s="27"/>
      <c r="D31" s="60" t="s">
        <v>374</v>
      </c>
      <c r="E31" s="60"/>
      <c r="F31" s="58"/>
      <c r="G31" s="58"/>
      <c r="H31" s="58"/>
      <c r="I31" s="58"/>
      <c r="J31" s="58"/>
      <c r="K31" s="58"/>
      <c r="L31" s="58"/>
      <c r="M31" s="58"/>
      <c r="N31" s="58"/>
      <c r="O31" s="60"/>
      <c r="P31" s="58"/>
      <c r="Q31" s="58"/>
      <c r="R31" s="59"/>
      <c r="T31" s="182"/>
      <c r="U31" s="182"/>
    </row>
    <row r="32" spans="2:21" ht="9.75" customHeight="1" x14ac:dyDescent="0.4">
      <c r="C32" s="27"/>
      <c r="D32" s="60" t="s">
        <v>374</v>
      </c>
      <c r="E32" s="60"/>
      <c r="F32" s="58"/>
      <c r="G32" s="58"/>
      <c r="H32" s="58"/>
      <c r="I32" s="58"/>
      <c r="J32" s="58"/>
      <c r="K32" s="58"/>
      <c r="L32" s="58"/>
      <c r="M32" s="58"/>
      <c r="N32" s="58"/>
      <c r="O32" s="60"/>
      <c r="P32" s="58"/>
      <c r="Q32" s="58"/>
      <c r="R32" s="59"/>
      <c r="T32" s="182"/>
      <c r="U32" s="182"/>
    </row>
    <row r="33" spans="2:21" ht="9.75" customHeight="1" x14ac:dyDescent="0.4">
      <c r="C33" s="27"/>
      <c r="D33" s="60" t="s">
        <v>374</v>
      </c>
      <c r="E33" s="60"/>
      <c r="F33" s="58"/>
      <c r="G33" s="58"/>
      <c r="H33" s="58"/>
      <c r="I33" s="58"/>
      <c r="J33" s="58"/>
      <c r="K33" s="58"/>
      <c r="L33" s="58"/>
      <c r="M33" s="58"/>
      <c r="N33" s="58"/>
      <c r="O33" s="60"/>
      <c r="P33" s="58"/>
      <c r="Q33" s="58"/>
      <c r="R33" s="59"/>
      <c r="T33" s="182"/>
      <c r="U33" s="182"/>
    </row>
    <row r="34" spans="2:21" ht="9.75" customHeight="1" x14ac:dyDescent="0.4">
      <c r="C34" s="27"/>
      <c r="D34" s="60" t="s">
        <v>374</v>
      </c>
      <c r="E34" s="60"/>
      <c r="F34" s="58"/>
      <c r="G34" s="58"/>
      <c r="H34" s="58"/>
      <c r="I34" s="58"/>
      <c r="J34" s="58"/>
      <c r="K34" s="58"/>
      <c r="L34" s="58"/>
      <c r="M34" s="58"/>
      <c r="N34" s="58"/>
      <c r="O34" s="60"/>
      <c r="P34" s="58"/>
      <c r="Q34" s="58"/>
      <c r="R34" s="59"/>
      <c r="T34" s="182"/>
      <c r="U34" s="182"/>
    </row>
    <row r="35" spans="2:21" ht="9.75" customHeight="1" x14ac:dyDescent="0.4">
      <c r="C35" s="27"/>
      <c r="D35" s="60" t="s">
        <v>374</v>
      </c>
      <c r="E35" s="60"/>
      <c r="F35" s="58"/>
      <c r="G35" s="58"/>
      <c r="H35" s="58"/>
      <c r="I35" s="58"/>
      <c r="J35" s="58"/>
      <c r="K35" s="58"/>
      <c r="L35" s="58"/>
      <c r="M35" s="58"/>
      <c r="N35" s="58"/>
      <c r="O35" s="60"/>
      <c r="P35" s="58"/>
      <c r="Q35" s="58"/>
      <c r="R35" s="59"/>
      <c r="T35" s="182"/>
      <c r="U35" s="182"/>
    </row>
    <row r="36" spans="2:21" ht="9.75" customHeight="1" x14ac:dyDescent="0.4">
      <c r="C36" s="27"/>
      <c r="D36" s="60" t="s">
        <v>374</v>
      </c>
      <c r="E36" s="60"/>
      <c r="F36" s="58"/>
      <c r="G36" s="58"/>
      <c r="H36" s="58"/>
      <c r="I36" s="58"/>
      <c r="J36" s="58"/>
      <c r="K36" s="58"/>
      <c r="L36" s="58"/>
      <c r="M36" s="58"/>
      <c r="N36" s="58"/>
      <c r="O36" s="60"/>
      <c r="P36" s="58"/>
      <c r="Q36" s="58"/>
      <c r="R36" s="59"/>
      <c r="T36" s="182"/>
      <c r="U36" s="182"/>
    </row>
    <row r="37" spans="2:21" ht="9.75" customHeight="1" x14ac:dyDescent="0.4">
      <c r="C37" s="27"/>
      <c r="D37" s="60" t="s">
        <v>310</v>
      </c>
      <c r="E37" s="60"/>
      <c r="F37" s="58"/>
      <c r="G37" s="58"/>
      <c r="H37" s="58"/>
      <c r="I37" s="58"/>
      <c r="J37" s="58"/>
      <c r="K37" s="58"/>
      <c r="L37" s="58"/>
      <c r="M37" s="58"/>
      <c r="N37" s="58"/>
      <c r="O37" s="60"/>
      <c r="P37" s="58"/>
      <c r="Q37" s="58"/>
      <c r="R37" s="59"/>
      <c r="T37" s="182"/>
      <c r="U37" s="182"/>
    </row>
    <row r="38" spans="2:21" ht="9.75" customHeight="1" x14ac:dyDescent="0.4">
      <c r="C38" s="27"/>
      <c r="D38" s="60" t="s">
        <v>311</v>
      </c>
      <c r="E38" s="60"/>
      <c r="F38" s="58"/>
      <c r="G38" s="58"/>
      <c r="H38" s="58"/>
      <c r="I38" s="58"/>
      <c r="J38" s="58"/>
      <c r="K38" s="58"/>
      <c r="L38" s="58"/>
      <c r="M38" s="58"/>
      <c r="N38" s="58"/>
      <c r="O38" s="60"/>
      <c r="P38" s="58"/>
      <c r="Q38" s="58"/>
      <c r="R38" s="59"/>
      <c r="T38" s="182"/>
      <c r="U38" s="182"/>
    </row>
    <row r="39" spans="2:21" ht="9.75" customHeight="1" x14ac:dyDescent="0.4">
      <c r="C39" s="27"/>
      <c r="D39" s="60" t="s">
        <v>312</v>
      </c>
      <c r="E39" s="60"/>
      <c r="F39" s="58"/>
      <c r="G39" s="58"/>
      <c r="H39" s="58"/>
      <c r="I39" s="58"/>
      <c r="J39" s="58"/>
      <c r="K39" s="58"/>
      <c r="L39" s="58"/>
      <c r="M39" s="58"/>
      <c r="N39" s="58"/>
      <c r="O39" s="60"/>
      <c r="P39" s="58"/>
      <c r="Q39" s="58"/>
      <c r="R39" s="59"/>
      <c r="T39" s="182"/>
      <c r="U39" s="182"/>
    </row>
    <row r="40" spans="2:21" ht="9.75" customHeight="1" x14ac:dyDescent="0.4">
      <c r="C40" s="27"/>
      <c r="D40" s="64" t="s">
        <v>313</v>
      </c>
      <c r="E40" s="64"/>
      <c r="F40" s="63"/>
      <c r="G40" s="63"/>
      <c r="H40" s="63"/>
      <c r="I40" s="63"/>
      <c r="J40" s="63"/>
      <c r="K40" s="63"/>
      <c r="L40" s="63"/>
      <c r="M40" s="63"/>
      <c r="N40" s="63"/>
      <c r="O40" s="64"/>
      <c r="P40" s="63"/>
      <c r="Q40" s="63"/>
      <c r="R40" s="407"/>
      <c r="T40" s="182"/>
      <c r="U40" s="182"/>
    </row>
    <row r="41" spans="2:21" ht="9.75" customHeight="1" x14ac:dyDescent="0.4">
      <c r="B41" s="219" t="s">
        <v>395</v>
      </c>
      <c r="C41" s="125"/>
      <c r="D41" s="69" t="s">
        <v>314</v>
      </c>
      <c r="E41" s="408">
        <f t="shared" ref="E41:O41" si="1">SUM(E25:E40)</f>
        <v>41</v>
      </c>
      <c r="F41" s="409">
        <f t="shared" si="1"/>
        <v>39</v>
      </c>
      <c r="G41" s="409">
        <f t="shared" si="1"/>
        <v>32</v>
      </c>
      <c r="H41" s="409">
        <f t="shared" si="1"/>
        <v>14</v>
      </c>
      <c r="I41" s="409">
        <f t="shared" si="1"/>
        <v>8</v>
      </c>
      <c r="J41" s="409">
        <f t="shared" si="1"/>
        <v>14</v>
      </c>
      <c r="K41" s="409">
        <f t="shared" si="1"/>
        <v>20</v>
      </c>
      <c r="L41" s="409">
        <f t="shared" si="1"/>
        <v>18</v>
      </c>
      <c r="M41" s="409">
        <f t="shared" si="1"/>
        <v>24</v>
      </c>
      <c r="N41" s="409">
        <f t="shared" si="1"/>
        <v>27</v>
      </c>
      <c r="O41" s="408">
        <f t="shared" si="1"/>
        <v>29</v>
      </c>
      <c r="P41" s="409">
        <f>MIN(F41:O41)</f>
        <v>8</v>
      </c>
      <c r="Q41" s="409">
        <f>E41-P41</f>
        <v>33</v>
      </c>
      <c r="R41" s="410">
        <f>Q41/E41</f>
        <v>0.80487804878048785</v>
      </c>
      <c r="T41" s="182"/>
      <c r="U41" s="182"/>
    </row>
    <row r="42" spans="2:21" ht="9.75" customHeight="1" x14ac:dyDescent="0.4">
      <c r="C42" s="27" t="s">
        <v>106</v>
      </c>
      <c r="D42" s="60" t="s">
        <v>300</v>
      </c>
      <c r="E42" s="60"/>
      <c r="F42" s="58"/>
      <c r="G42" s="58"/>
      <c r="H42" s="58"/>
      <c r="I42" s="58"/>
      <c r="J42" s="58"/>
      <c r="K42" s="58"/>
      <c r="L42" s="58"/>
      <c r="M42" s="58"/>
      <c r="N42" s="58"/>
      <c r="O42" s="60"/>
      <c r="P42" s="58"/>
      <c r="Q42" s="58"/>
      <c r="R42" s="59"/>
      <c r="T42" s="182"/>
      <c r="U42" s="182"/>
    </row>
    <row r="43" spans="2:21" ht="9.75" customHeight="1" x14ac:dyDescent="0.4">
      <c r="C43" s="17"/>
      <c r="D43" s="60" t="s">
        <v>301</v>
      </c>
      <c r="E43" s="60"/>
      <c r="F43" s="58"/>
      <c r="G43" s="58"/>
      <c r="H43" s="58"/>
      <c r="I43" s="58"/>
      <c r="J43" s="58"/>
      <c r="K43" s="58"/>
      <c r="L43" s="58"/>
      <c r="M43" s="58"/>
      <c r="N43" s="58"/>
      <c r="O43" s="60"/>
      <c r="P43" s="58"/>
      <c r="Q43" s="58"/>
      <c r="R43" s="59"/>
      <c r="T43" s="182"/>
      <c r="U43" s="182"/>
    </row>
    <row r="44" spans="2:21" ht="9.75" customHeight="1" x14ac:dyDescent="0.4">
      <c r="C44" s="17"/>
      <c r="D44" s="60" t="s">
        <v>303</v>
      </c>
      <c r="E44" s="60"/>
      <c r="F44" s="58"/>
      <c r="G44" s="58"/>
      <c r="H44" s="58"/>
      <c r="I44" s="58"/>
      <c r="J44" s="58"/>
      <c r="K44" s="58"/>
      <c r="L44" s="58"/>
      <c r="M44" s="58"/>
      <c r="N44" s="58"/>
      <c r="O44" s="60"/>
      <c r="P44" s="58"/>
      <c r="Q44" s="58"/>
      <c r="R44" s="59"/>
      <c r="T44" s="182"/>
      <c r="U44" s="182"/>
    </row>
    <row r="45" spans="2:21" ht="9.75" customHeight="1" x14ac:dyDescent="0.4">
      <c r="C45" s="17"/>
      <c r="D45" s="60" t="s">
        <v>409</v>
      </c>
      <c r="E45" s="123">
        <v>39</v>
      </c>
      <c r="F45" s="74">
        <v>33</v>
      </c>
      <c r="G45" s="74">
        <v>1</v>
      </c>
      <c r="H45" s="74">
        <v>0</v>
      </c>
      <c r="I45" s="74">
        <v>0</v>
      </c>
      <c r="J45" s="74">
        <v>6</v>
      </c>
      <c r="K45" s="74">
        <v>4</v>
      </c>
      <c r="L45" s="74">
        <v>4</v>
      </c>
      <c r="M45" s="74">
        <v>10</v>
      </c>
      <c r="N45" s="74">
        <v>16</v>
      </c>
      <c r="O45" s="123">
        <v>21</v>
      </c>
      <c r="P45" s="74">
        <f>MIN(F45:O45)</f>
        <v>0</v>
      </c>
      <c r="Q45" s="74">
        <f>E45-P45</f>
        <v>39</v>
      </c>
      <c r="R45" s="75">
        <f>Q45/E45</f>
        <v>1</v>
      </c>
      <c r="T45" s="182"/>
      <c r="U45" s="182"/>
    </row>
    <row r="46" spans="2:21" ht="9.75" customHeight="1" x14ac:dyDescent="0.4">
      <c r="C46" s="27"/>
      <c r="D46" s="60" t="s">
        <v>369</v>
      </c>
      <c r="E46" s="60"/>
      <c r="F46" s="58"/>
      <c r="G46" s="58"/>
      <c r="H46" s="58"/>
      <c r="I46" s="58"/>
      <c r="J46" s="58"/>
      <c r="K46" s="58"/>
      <c r="L46" s="58"/>
      <c r="M46" s="58"/>
      <c r="N46" s="58"/>
      <c r="O46" s="60"/>
      <c r="P46" s="58"/>
      <c r="Q46" s="58"/>
      <c r="R46" s="59"/>
      <c r="T46" s="182"/>
      <c r="U46" s="182"/>
    </row>
    <row r="47" spans="2:21" ht="9.75" customHeight="1" x14ac:dyDescent="0.4">
      <c r="C47" s="27"/>
      <c r="D47" s="60" t="s">
        <v>308</v>
      </c>
      <c r="E47" s="60"/>
      <c r="F47" s="58"/>
      <c r="G47" s="58"/>
      <c r="H47" s="58"/>
      <c r="I47" s="58"/>
      <c r="J47" s="58"/>
      <c r="K47" s="58"/>
      <c r="L47" s="58"/>
      <c r="M47" s="58"/>
      <c r="N47" s="58"/>
      <c r="O47" s="60"/>
      <c r="P47" s="58"/>
      <c r="Q47" s="58"/>
      <c r="R47" s="59"/>
      <c r="T47" s="182"/>
      <c r="U47" s="182"/>
    </row>
    <row r="48" spans="2:21" ht="9.75" customHeight="1" x14ac:dyDescent="0.4">
      <c r="C48" s="27"/>
      <c r="D48" s="60" t="s">
        <v>374</v>
      </c>
      <c r="E48" s="60"/>
      <c r="F48" s="58"/>
      <c r="G48" s="58"/>
      <c r="H48" s="58"/>
      <c r="I48" s="58"/>
      <c r="J48" s="58"/>
      <c r="K48" s="58"/>
      <c r="L48" s="58"/>
      <c r="M48" s="58"/>
      <c r="N48" s="58"/>
      <c r="O48" s="60"/>
      <c r="P48" s="58"/>
      <c r="Q48" s="58"/>
      <c r="R48" s="59"/>
      <c r="T48" s="182"/>
      <c r="U48" s="182"/>
    </row>
    <row r="49" spans="2:21" ht="9.75" customHeight="1" x14ac:dyDescent="0.4">
      <c r="C49" s="27"/>
      <c r="D49" s="60" t="s">
        <v>374</v>
      </c>
      <c r="E49" s="60"/>
      <c r="F49" s="58"/>
      <c r="G49" s="58"/>
      <c r="H49" s="58"/>
      <c r="I49" s="58"/>
      <c r="J49" s="58"/>
      <c r="K49" s="58"/>
      <c r="L49" s="58"/>
      <c r="M49" s="58"/>
      <c r="N49" s="58"/>
      <c r="O49" s="60"/>
      <c r="P49" s="58"/>
      <c r="Q49" s="58"/>
      <c r="R49" s="59"/>
      <c r="T49" s="182"/>
      <c r="U49" s="182"/>
    </row>
    <row r="50" spans="2:21" ht="9.75" customHeight="1" x14ac:dyDescent="0.4">
      <c r="C50" s="27"/>
      <c r="D50" s="60" t="s">
        <v>374</v>
      </c>
      <c r="E50" s="60"/>
      <c r="F50" s="58"/>
      <c r="G50" s="58"/>
      <c r="H50" s="58"/>
      <c r="I50" s="58"/>
      <c r="J50" s="58"/>
      <c r="K50" s="58"/>
      <c r="L50" s="58"/>
      <c r="M50" s="58"/>
      <c r="N50" s="58"/>
      <c r="O50" s="60"/>
      <c r="P50" s="58"/>
      <c r="Q50" s="58"/>
      <c r="R50" s="59"/>
      <c r="T50" s="182"/>
      <c r="U50" s="182"/>
    </row>
    <row r="51" spans="2:21" ht="9.75" customHeight="1" x14ac:dyDescent="0.4">
      <c r="C51" s="27"/>
      <c r="D51" s="60" t="s">
        <v>374</v>
      </c>
      <c r="E51" s="60"/>
      <c r="F51" s="58"/>
      <c r="G51" s="58"/>
      <c r="H51" s="58"/>
      <c r="I51" s="58"/>
      <c r="J51" s="58"/>
      <c r="K51" s="58"/>
      <c r="L51" s="58"/>
      <c r="M51" s="58"/>
      <c r="N51" s="58"/>
      <c r="O51" s="60"/>
      <c r="P51" s="58"/>
      <c r="Q51" s="58"/>
      <c r="R51" s="59"/>
      <c r="T51" s="182"/>
      <c r="U51" s="182"/>
    </row>
    <row r="52" spans="2:21" ht="9.75" customHeight="1" x14ac:dyDescent="0.4">
      <c r="C52" s="27"/>
      <c r="D52" s="60" t="s">
        <v>374</v>
      </c>
      <c r="E52" s="60"/>
      <c r="F52" s="58"/>
      <c r="G52" s="58"/>
      <c r="H52" s="58"/>
      <c r="I52" s="58"/>
      <c r="J52" s="58"/>
      <c r="K52" s="58"/>
      <c r="L52" s="58"/>
      <c r="M52" s="58"/>
      <c r="N52" s="58"/>
      <c r="O52" s="60"/>
      <c r="P52" s="58"/>
      <c r="Q52" s="58"/>
      <c r="R52" s="59"/>
      <c r="T52" s="182"/>
      <c r="U52" s="182"/>
    </row>
    <row r="53" spans="2:21" ht="9.75" customHeight="1" x14ac:dyDescent="0.4">
      <c r="C53" s="27"/>
      <c r="D53" s="60" t="s">
        <v>374</v>
      </c>
      <c r="E53" s="60"/>
      <c r="F53" s="58"/>
      <c r="G53" s="58"/>
      <c r="H53" s="58"/>
      <c r="I53" s="58"/>
      <c r="J53" s="58"/>
      <c r="K53" s="58"/>
      <c r="L53" s="58"/>
      <c r="M53" s="58"/>
      <c r="N53" s="58"/>
      <c r="O53" s="60"/>
      <c r="P53" s="58"/>
      <c r="Q53" s="58"/>
      <c r="R53" s="59"/>
      <c r="T53" s="182"/>
      <c r="U53" s="182"/>
    </row>
    <row r="54" spans="2:21" ht="9.75" customHeight="1" x14ac:dyDescent="0.4">
      <c r="C54" s="27"/>
      <c r="D54" s="60" t="s">
        <v>310</v>
      </c>
      <c r="E54" s="60"/>
      <c r="F54" s="58"/>
      <c r="G54" s="58"/>
      <c r="H54" s="58"/>
      <c r="I54" s="58"/>
      <c r="J54" s="58"/>
      <c r="K54" s="58"/>
      <c r="L54" s="58"/>
      <c r="M54" s="58"/>
      <c r="N54" s="58"/>
      <c r="O54" s="60"/>
      <c r="P54" s="58"/>
      <c r="Q54" s="58"/>
      <c r="R54" s="59"/>
      <c r="T54" s="182"/>
      <c r="U54" s="182"/>
    </row>
    <row r="55" spans="2:21" ht="9.75" customHeight="1" x14ac:dyDescent="0.4">
      <c r="C55" s="27"/>
      <c r="D55" s="60" t="s">
        <v>311</v>
      </c>
      <c r="E55" s="60"/>
      <c r="F55" s="58"/>
      <c r="G55" s="58"/>
      <c r="H55" s="58"/>
      <c r="I55" s="58"/>
      <c r="J55" s="58"/>
      <c r="K55" s="58"/>
      <c r="L55" s="58"/>
      <c r="M55" s="58"/>
      <c r="N55" s="58"/>
      <c r="O55" s="60"/>
      <c r="P55" s="58"/>
      <c r="Q55" s="58"/>
      <c r="R55" s="59"/>
      <c r="T55" s="182"/>
      <c r="U55" s="182"/>
    </row>
    <row r="56" spans="2:21" ht="9.75" customHeight="1" x14ac:dyDescent="0.4">
      <c r="C56" s="27"/>
      <c r="D56" s="60" t="s">
        <v>312</v>
      </c>
      <c r="E56" s="60"/>
      <c r="F56" s="58"/>
      <c r="G56" s="58"/>
      <c r="H56" s="58"/>
      <c r="I56" s="58"/>
      <c r="J56" s="58"/>
      <c r="K56" s="58"/>
      <c r="L56" s="58"/>
      <c r="M56" s="58"/>
      <c r="N56" s="58"/>
      <c r="O56" s="60"/>
      <c r="P56" s="58"/>
      <c r="Q56" s="58"/>
      <c r="R56" s="59"/>
      <c r="T56" s="182"/>
      <c r="U56" s="182"/>
    </row>
    <row r="57" spans="2:21" ht="9.75" customHeight="1" x14ac:dyDescent="0.4">
      <c r="C57" s="27"/>
      <c r="D57" s="64" t="s">
        <v>313</v>
      </c>
      <c r="E57" s="64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63"/>
      <c r="Q57" s="63"/>
      <c r="R57" s="407"/>
      <c r="T57" s="182"/>
      <c r="U57" s="182"/>
    </row>
    <row r="58" spans="2:21" ht="9.75" customHeight="1" x14ac:dyDescent="0.4">
      <c r="B58" s="219" t="s">
        <v>395</v>
      </c>
      <c r="C58" s="125"/>
      <c r="D58" s="69" t="s">
        <v>314</v>
      </c>
      <c r="E58" s="408">
        <f t="shared" ref="E58:O58" si="2">SUM(E42:E57)</f>
        <v>39</v>
      </c>
      <c r="F58" s="409">
        <f t="shared" si="2"/>
        <v>33</v>
      </c>
      <c r="G58" s="409">
        <f t="shared" si="2"/>
        <v>1</v>
      </c>
      <c r="H58" s="409">
        <f t="shared" si="2"/>
        <v>0</v>
      </c>
      <c r="I58" s="409">
        <f t="shared" si="2"/>
        <v>0</v>
      </c>
      <c r="J58" s="409">
        <f t="shared" si="2"/>
        <v>6</v>
      </c>
      <c r="K58" s="409">
        <f t="shared" si="2"/>
        <v>4</v>
      </c>
      <c r="L58" s="409">
        <f t="shared" si="2"/>
        <v>4</v>
      </c>
      <c r="M58" s="409">
        <f t="shared" si="2"/>
        <v>10</v>
      </c>
      <c r="N58" s="409">
        <f t="shared" si="2"/>
        <v>16</v>
      </c>
      <c r="O58" s="408">
        <f t="shared" si="2"/>
        <v>21</v>
      </c>
      <c r="P58" s="409">
        <f>MIN(F58:O58)</f>
        <v>0</v>
      </c>
      <c r="Q58" s="409">
        <f>E58-P58</f>
        <v>39</v>
      </c>
      <c r="R58" s="410">
        <f>Q58/E58</f>
        <v>1</v>
      </c>
      <c r="T58" s="182"/>
      <c r="U58" s="182"/>
    </row>
    <row r="59" spans="2:21" ht="9.75" customHeight="1" x14ac:dyDescent="0.4">
      <c r="C59" s="27" t="s">
        <v>123</v>
      </c>
      <c r="D59" s="60" t="s">
        <v>300</v>
      </c>
      <c r="E59" s="60"/>
      <c r="F59" s="58"/>
      <c r="G59" s="58"/>
      <c r="H59" s="58"/>
      <c r="I59" s="58"/>
      <c r="J59" s="58"/>
      <c r="K59" s="58"/>
      <c r="L59" s="58"/>
      <c r="M59" s="58"/>
      <c r="N59" s="58"/>
      <c r="O59" s="60"/>
      <c r="P59" s="58"/>
      <c r="Q59" s="58"/>
      <c r="R59" s="59"/>
      <c r="T59" s="182"/>
      <c r="U59" s="182"/>
    </row>
    <row r="60" spans="2:21" ht="9.75" customHeight="1" x14ac:dyDescent="0.4">
      <c r="C60" s="17"/>
      <c r="D60" s="60" t="s">
        <v>301</v>
      </c>
      <c r="E60" s="60"/>
      <c r="F60" s="58"/>
      <c r="G60" s="58"/>
      <c r="H60" s="58"/>
      <c r="I60" s="58"/>
      <c r="J60" s="58"/>
      <c r="K60" s="58"/>
      <c r="L60" s="58"/>
      <c r="M60" s="58"/>
      <c r="N60" s="58"/>
      <c r="O60" s="60"/>
      <c r="P60" s="58"/>
      <c r="Q60" s="58"/>
      <c r="R60" s="59"/>
      <c r="T60" s="182"/>
      <c r="U60" s="182"/>
    </row>
    <row r="61" spans="2:21" ht="9.75" customHeight="1" x14ac:dyDescent="0.4">
      <c r="C61" s="17"/>
      <c r="D61" s="60" t="s">
        <v>303</v>
      </c>
      <c r="E61" s="60"/>
      <c r="F61" s="58"/>
      <c r="G61" s="58"/>
      <c r="H61" s="58"/>
      <c r="I61" s="58"/>
      <c r="J61" s="58"/>
      <c r="K61" s="58"/>
      <c r="L61" s="58"/>
      <c r="M61" s="58"/>
      <c r="N61" s="58"/>
      <c r="O61" s="60"/>
      <c r="P61" s="58"/>
      <c r="Q61" s="58"/>
      <c r="R61" s="59"/>
      <c r="T61" s="182"/>
      <c r="U61" s="182"/>
    </row>
    <row r="62" spans="2:21" ht="9.75" customHeight="1" x14ac:dyDescent="0.4">
      <c r="C62" s="17"/>
      <c r="D62" s="60" t="s">
        <v>409</v>
      </c>
      <c r="E62" s="123">
        <v>39</v>
      </c>
      <c r="F62" s="74">
        <v>6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2</v>
      </c>
      <c r="M62" s="74">
        <v>0</v>
      </c>
      <c r="N62" s="74">
        <v>8</v>
      </c>
      <c r="O62" s="123">
        <v>23</v>
      </c>
      <c r="P62" s="74">
        <f>MIN(F62:O62)</f>
        <v>0</v>
      </c>
      <c r="Q62" s="74">
        <f>E62-P62</f>
        <v>39</v>
      </c>
      <c r="R62" s="75">
        <f>Q62/E62</f>
        <v>1</v>
      </c>
      <c r="T62" s="182"/>
      <c r="U62" s="182"/>
    </row>
    <row r="63" spans="2:21" ht="9.75" customHeight="1" x14ac:dyDescent="0.4">
      <c r="C63" s="27"/>
      <c r="D63" s="60" t="s">
        <v>369</v>
      </c>
      <c r="E63" s="60"/>
      <c r="F63" s="58"/>
      <c r="G63" s="58"/>
      <c r="H63" s="58"/>
      <c r="I63" s="58"/>
      <c r="J63" s="58"/>
      <c r="K63" s="58"/>
      <c r="L63" s="58"/>
      <c r="M63" s="58"/>
      <c r="N63" s="58"/>
      <c r="O63" s="60"/>
      <c r="P63" s="58"/>
      <c r="Q63" s="58"/>
      <c r="R63" s="59"/>
      <c r="T63" s="182"/>
      <c r="U63" s="182"/>
    </row>
    <row r="64" spans="2:21" ht="9.75" customHeight="1" x14ac:dyDescent="0.4">
      <c r="C64" s="27"/>
      <c r="D64" s="60" t="s">
        <v>308</v>
      </c>
      <c r="E64" s="60"/>
      <c r="F64" s="58"/>
      <c r="G64" s="58"/>
      <c r="H64" s="58"/>
      <c r="I64" s="58"/>
      <c r="J64" s="58"/>
      <c r="K64" s="58"/>
      <c r="L64" s="58"/>
      <c r="M64" s="58"/>
      <c r="N64" s="58"/>
      <c r="O64" s="60"/>
      <c r="P64" s="58"/>
      <c r="Q64" s="58"/>
      <c r="R64" s="59"/>
      <c r="T64" s="182"/>
      <c r="U64" s="182"/>
    </row>
    <row r="65" spans="2:21" ht="9.75" customHeight="1" x14ac:dyDescent="0.4">
      <c r="C65" s="27"/>
      <c r="D65" s="60" t="s">
        <v>374</v>
      </c>
      <c r="E65" s="60"/>
      <c r="F65" s="58"/>
      <c r="G65" s="58"/>
      <c r="H65" s="58"/>
      <c r="I65" s="58"/>
      <c r="J65" s="58"/>
      <c r="K65" s="58"/>
      <c r="L65" s="58"/>
      <c r="M65" s="58"/>
      <c r="N65" s="58"/>
      <c r="O65" s="60"/>
      <c r="P65" s="58"/>
      <c r="Q65" s="58"/>
      <c r="R65" s="59"/>
      <c r="T65" s="182"/>
      <c r="U65" s="182"/>
    </row>
    <row r="66" spans="2:21" ht="9.75" customHeight="1" x14ac:dyDescent="0.4">
      <c r="C66" s="27"/>
      <c r="D66" s="60" t="s">
        <v>374</v>
      </c>
      <c r="E66" s="60"/>
      <c r="F66" s="58"/>
      <c r="G66" s="58"/>
      <c r="H66" s="58"/>
      <c r="I66" s="58"/>
      <c r="J66" s="58"/>
      <c r="K66" s="58"/>
      <c r="L66" s="58"/>
      <c r="M66" s="58"/>
      <c r="N66" s="58"/>
      <c r="O66" s="60"/>
      <c r="P66" s="58"/>
      <c r="Q66" s="58"/>
      <c r="R66" s="59"/>
      <c r="T66" s="182"/>
      <c r="U66" s="182"/>
    </row>
    <row r="67" spans="2:21" ht="9.75" customHeight="1" x14ac:dyDescent="0.4">
      <c r="C67" s="27"/>
      <c r="D67" s="60" t="s">
        <v>374</v>
      </c>
      <c r="E67" s="60"/>
      <c r="F67" s="58"/>
      <c r="G67" s="58"/>
      <c r="H67" s="58"/>
      <c r="I67" s="58"/>
      <c r="J67" s="58"/>
      <c r="K67" s="58"/>
      <c r="L67" s="58"/>
      <c r="M67" s="58"/>
      <c r="N67" s="58"/>
      <c r="O67" s="60"/>
      <c r="P67" s="58"/>
      <c r="Q67" s="58"/>
      <c r="R67" s="59"/>
      <c r="T67" s="182"/>
      <c r="U67" s="182"/>
    </row>
    <row r="68" spans="2:21" ht="9.75" customHeight="1" x14ac:dyDescent="0.4">
      <c r="C68" s="27"/>
      <c r="D68" s="60" t="s">
        <v>374</v>
      </c>
      <c r="E68" s="60"/>
      <c r="F68" s="58"/>
      <c r="G68" s="58"/>
      <c r="H68" s="58"/>
      <c r="I68" s="58"/>
      <c r="J68" s="58"/>
      <c r="K68" s="58"/>
      <c r="L68" s="58"/>
      <c r="M68" s="58"/>
      <c r="N68" s="58"/>
      <c r="O68" s="60"/>
      <c r="P68" s="58"/>
      <c r="Q68" s="58"/>
      <c r="R68" s="59"/>
      <c r="T68" s="182"/>
      <c r="U68" s="182"/>
    </row>
    <row r="69" spans="2:21" ht="9.75" customHeight="1" x14ac:dyDescent="0.4">
      <c r="C69" s="27"/>
      <c r="D69" s="60" t="s">
        <v>374</v>
      </c>
      <c r="E69" s="60"/>
      <c r="F69" s="58"/>
      <c r="G69" s="58"/>
      <c r="H69" s="58"/>
      <c r="I69" s="58"/>
      <c r="J69" s="58"/>
      <c r="K69" s="58"/>
      <c r="L69" s="58"/>
      <c r="M69" s="58"/>
      <c r="N69" s="58"/>
      <c r="O69" s="60"/>
      <c r="P69" s="58"/>
      <c r="Q69" s="58"/>
      <c r="R69" s="59"/>
      <c r="T69" s="182"/>
      <c r="U69" s="182"/>
    </row>
    <row r="70" spans="2:21" ht="9.75" customHeight="1" x14ac:dyDescent="0.4">
      <c r="C70" s="27"/>
      <c r="D70" s="60" t="s">
        <v>374</v>
      </c>
      <c r="E70" s="60"/>
      <c r="F70" s="58"/>
      <c r="G70" s="58"/>
      <c r="H70" s="58"/>
      <c r="I70" s="58"/>
      <c r="J70" s="58"/>
      <c r="K70" s="58"/>
      <c r="L70" s="58"/>
      <c r="M70" s="58"/>
      <c r="N70" s="58"/>
      <c r="O70" s="60"/>
      <c r="P70" s="58"/>
      <c r="Q70" s="58"/>
      <c r="R70" s="59"/>
      <c r="T70" s="182"/>
      <c r="U70" s="182"/>
    </row>
    <row r="71" spans="2:21" ht="9.75" customHeight="1" x14ac:dyDescent="0.4">
      <c r="C71" s="27"/>
      <c r="D71" s="60" t="s">
        <v>310</v>
      </c>
      <c r="E71" s="60"/>
      <c r="F71" s="58"/>
      <c r="G71" s="58"/>
      <c r="H71" s="58"/>
      <c r="I71" s="58"/>
      <c r="J71" s="58"/>
      <c r="K71" s="58"/>
      <c r="L71" s="58"/>
      <c r="M71" s="58"/>
      <c r="N71" s="58"/>
      <c r="O71" s="60"/>
      <c r="P71" s="58"/>
      <c r="Q71" s="58"/>
      <c r="R71" s="59"/>
      <c r="T71" s="182"/>
      <c r="U71" s="182"/>
    </row>
    <row r="72" spans="2:21" ht="9.75" customHeight="1" x14ac:dyDescent="0.4">
      <c r="C72" s="27"/>
      <c r="D72" s="60" t="s">
        <v>311</v>
      </c>
      <c r="E72" s="60"/>
      <c r="F72" s="58"/>
      <c r="G72" s="58"/>
      <c r="H72" s="58"/>
      <c r="I72" s="58"/>
      <c r="J72" s="58"/>
      <c r="K72" s="58"/>
      <c r="L72" s="58"/>
      <c r="M72" s="58"/>
      <c r="N72" s="58"/>
      <c r="O72" s="60"/>
      <c r="P72" s="58"/>
      <c r="Q72" s="58"/>
      <c r="R72" s="59"/>
      <c r="T72" s="182"/>
      <c r="U72" s="182"/>
    </row>
    <row r="73" spans="2:21" ht="9.75" customHeight="1" x14ac:dyDescent="0.4">
      <c r="C73" s="27"/>
      <c r="D73" s="60" t="s">
        <v>312</v>
      </c>
      <c r="E73" s="60"/>
      <c r="F73" s="58"/>
      <c r="G73" s="58"/>
      <c r="H73" s="58"/>
      <c r="I73" s="58"/>
      <c r="J73" s="58"/>
      <c r="K73" s="58"/>
      <c r="L73" s="58"/>
      <c r="M73" s="58"/>
      <c r="N73" s="58"/>
      <c r="O73" s="60"/>
      <c r="P73" s="58"/>
      <c r="Q73" s="58"/>
      <c r="R73" s="59"/>
      <c r="T73" s="182"/>
      <c r="U73" s="182"/>
    </row>
    <row r="74" spans="2:21" ht="9.75" customHeight="1" x14ac:dyDescent="0.4">
      <c r="C74" s="27"/>
      <c r="D74" s="64" t="s">
        <v>313</v>
      </c>
      <c r="E74" s="64"/>
      <c r="F74" s="63"/>
      <c r="G74" s="63"/>
      <c r="H74" s="63"/>
      <c r="I74" s="63"/>
      <c r="J74" s="63"/>
      <c r="K74" s="63"/>
      <c r="L74" s="63"/>
      <c r="M74" s="63"/>
      <c r="N74" s="63"/>
      <c r="O74" s="64"/>
      <c r="P74" s="63"/>
      <c r="Q74" s="63"/>
      <c r="R74" s="407"/>
      <c r="T74" s="182"/>
      <c r="U74" s="182"/>
    </row>
    <row r="75" spans="2:21" ht="9.75" customHeight="1" x14ac:dyDescent="0.4">
      <c r="B75" s="219" t="s">
        <v>395</v>
      </c>
      <c r="C75" s="125"/>
      <c r="D75" s="69" t="s">
        <v>314</v>
      </c>
      <c r="E75" s="408">
        <f t="shared" ref="E75:O75" si="3">SUM(E59:E74)</f>
        <v>39</v>
      </c>
      <c r="F75" s="409">
        <f t="shared" si="3"/>
        <v>6</v>
      </c>
      <c r="G75" s="409">
        <f t="shared" si="3"/>
        <v>0</v>
      </c>
      <c r="H75" s="409">
        <f t="shared" si="3"/>
        <v>0</v>
      </c>
      <c r="I75" s="409">
        <f t="shared" si="3"/>
        <v>0</v>
      </c>
      <c r="J75" s="409">
        <f t="shared" si="3"/>
        <v>0</v>
      </c>
      <c r="K75" s="409">
        <f t="shared" si="3"/>
        <v>0</v>
      </c>
      <c r="L75" s="409">
        <f t="shared" si="3"/>
        <v>2</v>
      </c>
      <c r="M75" s="409">
        <f t="shared" si="3"/>
        <v>0</v>
      </c>
      <c r="N75" s="409">
        <f t="shared" si="3"/>
        <v>8</v>
      </c>
      <c r="O75" s="408">
        <f t="shared" si="3"/>
        <v>23</v>
      </c>
      <c r="P75" s="409">
        <f>MIN(F75:O75)</f>
        <v>0</v>
      </c>
      <c r="Q75" s="409">
        <f>E75-P75</f>
        <v>39</v>
      </c>
      <c r="R75" s="410">
        <f>Q75/E75</f>
        <v>1</v>
      </c>
      <c r="T75" s="182"/>
      <c r="U75" s="182"/>
    </row>
    <row r="76" spans="2:21" ht="9.75" customHeight="1" x14ac:dyDescent="0.4">
      <c r="C76" s="27" t="s">
        <v>141</v>
      </c>
      <c r="D76" s="60" t="s">
        <v>300</v>
      </c>
      <c r="E76" s="60"/>
      <c r="F76" s="58"/>
      <c r="G76" s="58"/>
      <c r="H76" s="58"/>
      <c r="I76" s="58"/>
      <c r="J76" s="58"/>
      <c r="K76" s="58"/>
      <c r="L76" s="58"/>
      <c r="M76" s="58"/>
      <c r="N76" s="58"/>
      <c r="O76" s="60"/>
      <c r="P76" s="58"/>
      <c r="Q76" s="58"/>
      <c r="R76" s="59"/>
      <c r="T76" s="182"/>
      <c r="U76" s="182"/>
    </row>
    <row r="77" spans="2:21" ht="9.75" customHeight="1" x14ac:dyDescent="0.4">
      <c r="C77" s="17"/>
      <c r="D77" s="60" t="s">
        <v>301</v>
      </c>
      <c r="E77" s="60"/>
      <c r="F77" s="58"/>
      <c r="G77" s="58"/>
      <c r="H77" s="58"/>
      <c r="I77" s="58"/>
      <c r="J77" s="58"/>
      <c r="K77" s="58"/>
      <c r="L77" s="58"/>
      <c r="M77" s="58"/>
      <c r="N77" s="58"/>
      <c r="O77" s="60"/>
      <c r="P77" s="58"/>
      <c r="Q77" s="58"/>
      <c r="R77" s="59"/>
      <c r="T77" s="182"/>
      <c r="U77" s="182"/>
    </row>
    <row r="78" spans="2:21" ht="9.75" customHeight="1" x14ac:dyDescent="0.4">
      <c r="C78" s="17"/>
      <c r="D78" s="60" t="s">
        <v>303</v>
      </c>
      <c r="E78" s="60"/>
      <c r="F78" s="58"/>
      <c r="G78" s="58"/>
      <c r="H78" s="58"/>
      <c r="I78" s="58"/>
      <c r="J78" s="58"/>
      <c r="K78" s="58"/>
      <c r="L78" s="58"/>
      <c r="M78" s="58"/>
      <c r="N78" s="58"/>
      <c r="O78" s="60"/>
      <c r="P78" s="58"/>
      <c r="Q78" s="58"/>
      <c r="R78" s="59"/>
      <c r="T78" s="182"/>
      <c r="U78" s="182"/>
    </row>
    <row r="79" spans="2:21" ht="9.75" customHeight="1" x14ac:dyDescent="0.4">
      <c r="C79" s="17"/>
      <c r="D79" s="60" t="s">
        <v>409</v>
      </c>
      <c r="E79" s="123">
        <v>39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8</v>
      </c>
      <c r="O79" s="123">
        <v>22</v>
      </c>
      <c r="P79" s="74">
        <f>MIN(F79:O79)</f>
        <v>0</v>
      </c>
      <c r="Q79" s="74">
        <f>E79-P79</f>
        <v>39</v>
      </c>
      <c r="R79" s="75">
        <f>Q79/E79</f>
        <v>1</v>
      </c>
      <c r="T79" s="182"/>
      <c r="U79" s="182"/>
    </row>
    <row r="80" spans="2:21" ht="9.75" customHeight="1" x14ac:dyDescent="0.4">
      <c r="C80" s="27"/>
      <c r="D80" s="60" t="s">
        <v>369</v>
      </c>
      <c r="E80" s="60"/>
      <c r="F80" s="58"/>
      <c r="G80" s="58"/>
      <c r="H80" s="58"/>
      <c r="I80" s="58"/>
      <c r="J80" s="58"/>
      <c r="K80" s="58"/>
      <c r="L80" s="58"/>
      <c r="M80" s="58"/>
      <c r="N80" s="58"/>
      <c r="O80" s="60"/>
      <c r="P80" s="58"/>
      <c r="Q80" s="58"/>
      <c r="R80" s="59"/>
      <c r="T80" s="182"/>
      <c r="U80" s="182"/>
    </row>
    <row r="81" spans="2:21" ht="9.75" customHeight="1" x14ac:dyDescent="0.4">
      <c r="C81" s="27"/>
      <c r="D81" s="60" t="s">
        <v>308</v>
      </c>
      <c r="E81" s="60"/>
      <c r="F81" s="58"/>
      <c r="G81" s="58"/>
      <c r="H81" s="58"/>
      <c r="I81" s="58"/>
      <c r="J81" s="58"/>
      <c r="K81" s="58"/>
      <c r="L81" s="58"/>
      <c r="M81" s="58"/>
      <c r="N81" s="58"/>
      <c r="O81" s="60"/>
      <c r="P81" s="58"/>
      <c r="Q81" s="58"/>
      <c r="R81" s="59"/>
      <c r="T81" s="182"/>
      <c r="U81" s="182"/>
    </row>
    <row r="82" spans="2:21" ht="9.75" customHeight="1" x14ac:dyDescent="0.4">
      <c r="C82" s="27"/>
      <c r="D82" s="60" t="s">
        <v>374</v>
      </c>
      <c r="E82" s="60"/>
      <c r="F82" s="58"/>
      <c r="G82" s="58"/>
      <c r="H82" s="58"/>
      <c r="I82" s="58"/>
      <c r="J82" s="58"/>
      <c r="K82" s="58"/>
      <c r="L82" s="58"/>
      <c r="M82" s="58"/>
      <c r="N82" s="58"/>
      <c r="O82" s="60"/>
      <c r="P82" s="58"/>
      <c r="Q82" s="58"/>
      <c r="R82" s="59"/>
      <c r="T82" s="182"/>
      <c r="U82" s="182"/>
    </row>
    <row r="83" spans="2:21" ht="9.75" customHeight="1" x14ac:dyDescent="0.4">
      <c r="C83" s="27"/>
      <c r="D83" s="60" t="s">
        <v>374</v>
      </c>
      <c r="E83" s="60"/>
      <c r="F83" s="58"/>
      <c r="G83" s="58"/>
      <c r="H83" s="58"/>
      <c r="I83" s="58"/>
      <c r="J83" s="58"/>
      <c r="K83" s="58"/>
      <c r="L83" s="58"/>
      <c r="M83" s="58"/>
      <c r="N83" s="58"/>
      <c r="O83" s="60"/>
      <c r="P83" s="58"/>
      <c r="Q83" s="58"/>
      <c r="R83" s="59"/>
      <c r="T83" s="182"/>
      <c r="U83" s="182"/>
    </row>
    <row r="84" spans="2:21" ht="9.75" customHeight="1" x14ac:dyDescent="0.4">
      <c r="C84" s="27"/>
      <c r="D84" s="60" t="s">
        <v>374</v>
      </c>
      <c r="E84" s="60"/>
      <c r="F84" s="58"/>
      <c r="G84" s="58"/>
      <c r="H84" s="58"/>
      <c r="I84" s="58"/>
      <c r="J84" s="58"/>
      <c r="K84" s="58"/>
      <c r="L84" s="58"/>
      <c r="M84" s="58"/>
      <c r="N84" s="58"/>
      <c r="O84" s="60"/>
      <c r="P84" s="58"/>
      <c r="Q84" s="58"/>
      <c r="R84" s="59"/>
      <c r="T84" s="182"/>
      <c r="U84" s="182"/>
    </row>
    <row r="85" spans="2:21" ht="9.75" customHeight="1" x14ac:dyDescent="0.4">
      <c r="C85" s="27"/>
      <c r="D85" s="60" t="s">
        <v>374</v>
      </c>
      <c r="E85" s="60"/>
      <c r="F85" s="58"/>
      <c r="G85" s="58"/>
      <c r="H85" s="58"/>
      <c r="I85" s="58"/>
      <c r="J85" s="58"/>
      <c r="K85" s="58"/>
      <c r="L85" s="58"/>
      <c r="M85" s="58"/>
      <c r="N85" s="58"/>
      <c r="O85" s="60"/>
      <c r="P85" s="58"/>
      <c r="Q85" s="58"/>
      <c r="R85" s="59"/>
      <c r="T85" s="182"/>
      <c r="U85" s="182"/>
    </row>
    <row r="86" spans="2:21" ht="9.75" customHeight="1" x14ac:dyDescent="0.4">
      <c r="C86" s="27"/>
      <c r="D86" s="60" t="s">
        <v>374</v>
      </c>
      <c r="E86" s="60"/>
      <c r="F86" s="58"/>
      <c r="G86" s="58"/>
      <c r="H86" s="58"/>
      <c r="I86" s="58"/>
      <c r="J86" s="58"/>
      <c r="K86" s="58"/>
      <c r="L86" s="58"/>
      <c r="M86" s="58"/>
      <c r="N86" s="58"/>
      <c r="O86" s="60"/>
      <c r="P86" s="58"/>
      <c r="Q86" s="58"/>
      <c r="R86" s="59"/>
      <c r="T86" s="182"/>
      <c r="U86" s="182"/>
    </row>
    <row r="87" spans="2:21" ht="9.75" customHeight="1" x14ac:dyDescent="0.4">
      <c r="C87" s="27"/>
      <c r="D87" s="60" t="s">
        <v>374</v>
      </c>
      <c r="E87" s="60"/>
      <c r="F87" s="58"/>
      <c r="G87" s="58"/>
      <c r="H87" s="58"/>
      <c r="I87" s="58"/>
      <c r="J87" s="58"/>
      <c r="K87" s="58"/>
      <c r="L87" s="58"/>
      <c r="M87" s="58"/>
      <c r="N87" s="58"/>
      <c r="O87" s="60"/>
      <c r="P87" s="58"/>
      <c r="Q87" s="58"/>
      <c r="R87" s="59"/>
      <c r="T87" s="182"/>
      <c r="U87" s="182"/>
    </row>
    <row r="88" spans="2:21" ht="9.75" customHeight="1" x14ac:dyDescent="0.4">
      <c r="C88" s="27"/>
      <c r="D88" s="60" t="s">
        <v>310</v>
      </c>
      <c r="E88" s="60"/>
      <c r="F88" s="58"/>
      <c r="G88" s="58"/>
      <c r="H88" s="58"/>
      <c r="I88" s="58"/>
      <c r="J88" s="58"/>
      <c r="K88" s="58"/>
      <c r="L88" s="58"/>
      <c r="M88" s="58"/>
      <c r="N88" s="58"/>
      <c r="O88" s="60"/>
      <c r="P88" s="58"/>
      <c r="Q88" s="58"/>
      <c r="R88" s="59"/>
      <c r="T88" s="182"/>
      <c r="U88" s="182"/>
    </row>
    <row r="89" spans="2:21" ht="9.75" customHeight="1" x14ac:dyDescent="0.4">
      <c r="C89" s="27"/>
      <c r="D89" s="60" t="s">
        <v>311</v>
      </c>
      <c r="E89" s="60"/>
      <c r="F89" s="58"/>
      <c r="G89" s="58"/>
      <c r="H89" s="58"/>
      <c r="I89" s="58"/>
      <c r="J89" s="58"/>
      <c r="K89" s="58"/>
      <c r="L89" s="58"/>
      <c r="M89" s="58"/>
      <c r="N89" s="58"/>
      <c r="O89" s="60"/>
      <c r="P89" s="58"/>
      <c r="Q89" s="58"/>
      <c r="R89" s="59"/>
      <c r="T89" s="182"/>
      <c r="U89" s="182"/>
    </row>
    <row r="90" spans="2:21" ht="9.75" customHeight="1" x14ac:dyDescent="0.4">
      <c r="C90" s="27"/>
      <c r="D90" s="60" t="s">
        <v>312</v>
      </c>
      <c r="E90" s="60"/>
      <c r="F90" s="58"/>
      <c r="G90" s="58"/>
      <c r="H90" s="58"/>
      <c r="I90" s="58"/>
      <c r="J90" s="58"/>
      <c r="K90" s="58"/>
      <c r="L90" s="58"/>
      <c r="M90" s="58"/>
      <c r="N90" s="58"/>
      <c r="O90" s="60"/>
      <c r="P90" s="58"/>
      <c r="Q90" s="58"/>
      <c r="R90" s="59"/>
      <c r="T90" s="182"/>
      <c r="U90" s="182"/>
    </row>
    <row r="91" spans="2:21" ht="9.75" customHeight="1" x14ac:dyDescent="0.4">
      <c r="C91" s="27"/>
      <c r="D91" s="64" t="s">
        <v>313</v>
      </c>
      <c r="E91" s="64"/>
      <c r="F91" s="63"/>
      <c r="G91" s="63"/>
      <c r="H91" s="63"/>
      <c r="I91" s="63"/>
      <c r="J91" s="63"/>
      <c r="K91" s="63"/>
      <c r="L91" s="63"/>
      <c r="M91" s="63"/>
      <c r="N91" s="63"/>
      <c r="O91" s="64"/>
      <c r="P91" s="63"/>
      <c r="Q91" s="63"/>
      <c r="R91" s="407"/>
      <c r="T91" s="182"/>
      <c r="U91" s="182"/>
    </row>
    <row r="92" spans="2:21" ht="9.75" customHeight="1" x14ac:dyDescent="0.4">
      <c r="B92" s="219" t="s">
        <v>395</v>
      </c>
      <c r="C92" s="125"/>
      <c r="D92" s="69" t="s">
        <v>314</v>
      </c>
      <c r="E92" s="408">
        <f t="shared" ref="E92:O92" si="4">SUM(E76:E91)</f>
        <v>39</v>
      </c>
      <c r="F92" s="409">
        <f t="shared" si="4"/>
        <v>0</v>
      </c>
      <c r="G92" s="409">
        <f t="shared" si="4"/>
        <v>0</v>
      </c>
      <c r="H92" s="409">
        <f t="shared" si="4"/>
        <v>0</v>
      </c>
      <c r="I92" s="409">
        <f t="shared" si="4"/>
        <v>0</v>
      </c>
      <c r="J92" s="409">
        <f t="shared" si="4"/>
        <v>0</v>
      </c>
      <c r="K92" s="409">
        <f t="shared" si="4"/>
        <v>0</v>
      </c>
      <c r="L92" s="409">
        <f t="shared" si="4"/>
        <v>0</v>
      </c>
      <c r="M92" s="409">
        <f t="shared" si="4"/>
        <v>0</v>
      </c>
      <c r="N92" s="409">
        <f t="shared" si="4"/>
        <v>8</v>
      </c>
      <c r="O92" s="408">
        <f t="shared" si="4"/>
        <v>22</v>
      </c>
      <c r="P92" s="409">
        <f>MIN(F92:O92)</f>
        <v>0</v>
      </c>
      <c r="Q92" s="409">
        <f>E92-P92</f>
        <v>39</v>
      </c>
      <c r="R92" s="410">
        <f>Q92/E92</f>
        <v>1</v>
      </c>
      <c r="T92" s="182"/>
      <c r="U92" s="182"/>
    </row>
    <row r="93" spans="2:21" ht="9.75" customHeight="1" x14ac:dyDescent="0.4">
      <c r="C93" s="27" t="s">
        <v>156</v>
      </c>
      <c r="D93" s="60" t="s">
        <v>300</v>
      </c>
      <c r="E93" s="60"/>
      <c r="F93" s="58"/>
      <c r="G93" s="58"/>
      <c r="H93" s="58"/>
      <c r="I93" s="58"/>
      <c r="J93" s="58"/>
      <c r="K93" s="58"/>
      <c r="L93" s="58"/>
      <c r="M93" s="58"/>
      <c r="N93" s="58"/>
      <c r="O93" s="60"/>
      <c r="P93" s="58"/>
      <c r="Q93" s="58"/>
      <c r="R93" s="59"/>
      <c r="T93" s="182"/>
      <c r="U93" s="182"/>
    </row>
    <row r="94" spans="2:21" ht="9.75" customHeight="1" x14ac:dyDescent="0.4">
      <c r="C94" s="17"/>
      <c r="D94" s="60" t="s">
        <v>301</v>
      </c>
      <c r="E94" s="60"/>
      <c r="F94" s="58"/>
      <c r="G94" s="58"/>
      <c r="H94" s="58"/>
      <c r="I94" s="58"/>
      <c r="J94" s="58"/>
      <c r="K94" s="58"/>
      <c r="L94" s="58"/>
      <c r="M94" s="58"/>
      <c r="N94" s="58"/>
      <c r="O94" s="60"/>
      <c r="P94" s="58"/>
      <c r="Q94" s="58"/>
      <c r="R94" s="59"/>
      <c r="T94" s="182"/>
      <c r="U94" s="182"/>
    </row>
    <row r="95" spans="2:21" ht="9.75" customHeight="1" x14ac:dyDescent="0.4">
      <c r="C95" s="17"/>
      <c r="D95" s="60" t="s">
        <v>303</v>
      </c>
      <c r="E95" s="60"/>
      <c r="F95" s="58"/>
      <c r="G95" s="58"/>
      <c r="H95" s="58"/>
      <c r="I95" s="58"/>
      <c r="J95" s="58"/>
      <c r="K95" s="58"/>
      <c r="L95" s="58"/>
      <c r="M95" s="58"/>
      <c r="N95" s="58"/>
      <c r="O95" s="60"/>
      <c r="P95" s="58"/>
      <c r="Q95" s="58"/>
      <c r="R95" s="59"/>
      <c r="T95" s="182"/>
      <c r="U95" s="182"/>
    </row>
    <row r="96" spans="2:21" ht="9.75" customHeight="1" x14ac:dyDescent="0.4">
      <c r="C96" s="17"/>
      <c r="D96" s="60" t="s">
        <v>409</v>
      </c>
      <c r="E96" s="123">
        <v>39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1</v>
      </c>
      <c r="O96" s="123">
        <v>11</v>
      </c>
      <c r="P96" s="74">
        <f>MIN(F96:O96)</f>
        <v>0</v>
      </c>
      <c r="Q96" s="74">
        <f>E96-P96</f>
        <v>39</v>
      </c>
      <c r="R96" s="75">
        <f>Q96/E96</f>
        <v>1</v>
      </c>
      <c r="T96" s="182"/>
      <c r="U96" s="182"/>
    </row>
    <row r="97" spans="2:21" ht="9.75" customHeight="1" x14ac:dyDescent="0.4">
      <c r="C97" s="27"/>
      <c r="D97" s="60" t="s">
        <v>369</v>
      </c>
      <c r="E97" s="60"/>
      <c r="F97" s="58"/>
      <c r="G97" s="58"/>
      <c r="H97" s="58"/>
      <c r="I97" s="58"/>
      <c r="J97" s="58"/>
      <c r="K97" s="58"/>
      <c r="L97" s="58"/>
      <c r="M97" s="58"/>
      <c r="N97" s="58"/>
      <c r="O97" s="60"/>
      <c r="P97" s="58"/>
      <c r="Q97" s="58"/>
      <c r="R97" s="59"/>
      <c r="T97" s="182"/>
      <c r="U97" s="182"/>
    </row>
    <row r="98" spans="2:21" ht="9.75" customHeight="1" x14ac:dyDescent="0.4">
      <c r="C98" s="27"/>
      <c r="D98" s="60" t="s">
        <v>308</v>
      </c>
      <c r="E98" s="60"/>
      <c r="F98" s="58"/>
      <c r="G98" s="58"/>
      <c r="H98" s="58"/>
      <c r="I98" s="58"/>
      <c r="J98" s="58"/>
      <c r="K98" s="58"/>
      <c r="L98" s="58"/>
      <c r="M98" s="58"/>
      <c r="N98" s="58"/>
      <c r="O98" s="60"/>
      <c r="P98" s="58"/>
      <c r="Q98" s="58"/>
      <c r="R98" s="59"/>
      <c r="T98" s="182"/>
      <c r="U98" s="182"/>
    </row>
    <row r="99" spans="2:21" ht="9.75" customHeight="1" x14ac:dyDescent="0.4">
      <c r="C99" s="27"/>
      <c r="D99" s="60" t="s">
        <v>374</v>
      </c>
      <c r="E99" s="60"/>
      <c r="F99" s="58"/>
      <c r="G99" s="58"/>
      <c r="H99" s="58"/>
      <c r="I99" s="58"/>
      <c r="J99" s="58"/>
      <c r="K99" s="58"/>
      <c r="L99" s="58"/>
      <c r="M99" s="58"/>
      <c r="N99" s="58"/>
      <c r="O99" s="60"/>
      <c r="P99" s="58"/>
      <c r="Q99" s="58"/>
      <c r="R99" s="59"/>
      <c r="T99" s="182"/>
      <c r="U99" s="182"/>
    </row>
    <row r="100" spans="2:21" ht="9.75" customHeight="1" x14ac:dyDescent="0.4">
      <c r="C100" s="27"/>
      <c r="D100" s="60" t="s">
        <v>374</v>
      </c>
      <c r="E100" s="60"/>
      <c r="F100" s="58"/>
      <c r="G100" s="58"/>
      <c r="H100" s="58"/>
      <c r="I100" s="58"/>
      <c r="J100" s="58"/>
      <c r="K100" s="58"/>
      <c r="L100" s="58"/>
      <c r="M100" s="58"/>
      <c r="N100" s="58"/>
      <c r="O100" s="60"/>
      <c r="P100" s="58"/>
      <c r="Q100" s="58"/>
      <c r="R100" s="59"/>
      <c r="T100" s="182"/>
      <c r="U100" s="182"/>
    </row>
    <row r="101" spans="2:21" ht="9.75" customHeight="1" x14ac:dyDescent="0.4">
      <c r="C101" s="27"/>
      <c r="D101" s="60" t="s">
        <v>374</v>
      </c>
      <c r="E101" s="60"/>
      <c r="F101" s="58"/>
      <c r="G101" s="58"/>
      <c r="H101" s="58"/>
      <c r="I101" s="58"/>
      <c r="J101" s="58"/>
      <c r="K101" s="58"/>
      <c r="L101" s="58"/>
      <c r="M101" s="58"/>
      <c r="N101" s="58"/>
      <c r="O101" s="60"/>
      <c r="P101" s="58"/>
      <c r="Q101" s="58"/>
      <c r="R101" s="59"/>
      <c r="T101" s="182"/>
      <c r="U101" s="182"/>
    </row>
    <row r="102" spans="2:21" ht="9.75" customHeight="1" x14ac:dyDescent="0.4">
      <c r="C102" s="27"/>
      <c r="D102" s="60" t="s">
        <v>374</v>
      </c>
      <c r="E102" s="60"/>
      <c r="F102" s="58"/>
      <c r="G102" s="58"/>
      <c r="H102" s="58"/>
      <c r="I102" s="58"/>
      <c r="J102" s="58"/>
      <c r="K102" s="58"/>
      <c r="L102" s="58"/>
      <c r="M102" s="58"/>
      <c r="N102" s="58"/>
      <c r="O102" s="60"/>
      <c r="P102" s="58"/>
      <c r="Q102" s="58"/>
      <c r="R102" s="59"/>
      <c r="T102" s="182"/>
      <c r="U102" s="182"/>
    </row>
    <row r="103" spans="2:21" ht="9.75" customHeight="1" x14ac:dyDescent="0.4">
      <c r="C103" s="27"/>
      <c r="D103" s="60" t="s">
        <v>374</v>
      </c>
      <c r="E103" s="60"/>
      <c r="F103" s="58"/>
      <c r="G103" s="58"/>
      <c r="H103" s="58"/>
      <c r="I103" s="58"/>
      <c r="J103" s="58"/>
      <c r="K103" s="58"/>
      <c r="L103" s="58"/>
      <c r="M103" s="58"/>
      <c r="N103" s="58"/>
      <c r="O103" s="60"/>
      <c r="P103" s="58"/>
      <c r="Q103" s="58"/>
      <c r="R103" s="59"/>
      <c r="T103" s="182"/>
      <c r="U103" s="182"/>
    </row>
    <row r="104" spans="2:21" ht="9.75" customHeight="1" x14ac:dyDescent="0.4">
      <c r="C104" s="27"/>
      <c r="D104" s="60" t="s">
        <v>374</v>
      </c>
      <c r="E104" s="60"/>
      <c r="F104" s="58"/>
      <c r="G104" s="58"/>
      <c r="H104" s="58"/>
      <c r="I104" s="58"/>
      <c r="J104" s="58"/>
      <c r="K104" s="58"/>
      <c r="L104" s="58"/>
      <c r="M104" s="58"/>
      <c r="N104" s="58"/>
      <c r="O104" s="60"/>
      <c r="P104" s="58"/>
      <c r="Q104" s="58"/>
      <c r="R104" s="59"/>
      <c r="T104" s="182"/>
      <c r="U104" s="182"/>
    </row>
    <row r="105" spans="2:21" ht="9.75" customHeight="1" x14ac:dyDescent="0.4">
      <c r="C105" s="27"/>
      <c r="D105" s="60" t="s">
        <v>310</v>
      </c>
      <c r="E105" s="60"/>
      <c r="F105" s="58"/>
      <c r="G105" s="58"/>
      <c r="H105" s="58"/>
      <c r="I105" s="58"/>
      <c r="J105" s="58"/>
      <c r="K105" s="58"/>
      <c r="L105" s="58"/>
      <c r="M105" s="58"/>
      <c r="N105" s="58"/>
      <c r="O105" s="60"/>
      <c r="P105" s="58"/>
      <c r="Q105" s="58"/>
      <c r="R105" s="59"/>
      <c r="T105" s="182"/>
      <c r="U105" s="182"/>
    </row>
    <row r="106" spans="2:21" ht="9.75" customHeight="1" x14ac:dyDescent="0.4">
      <c r="C106" s="27"/>
      <c r="D106" s="60" t="s">
        <v>311</v>
      </c>
      <c r="E106" s="60"/>
      <c r="F106" s="58"/>
      <c r="G106" s="58"/>
      <c r="H106" s="58"/>
      <c r="I106" s="58"/>
      <c r="J106" s="58"/>
      <c r="K106" s="58"/>
      <c r="L106" s="58"/>
      <c r="M106" s="58"/>
      <c r="N106" s="58"/>
      <c r="O106" s="60"/>
      <c r="P106" s="58"/>
      <c r="Q106" s="58"/>
      <c r="R106" s="59"/>
      <c r="T106" s="182"/>
      <c r="U106" s="182"/>
    </row>
    <row r="107" spans="2:21" ht="9.75" customHeight="1" x14ac:dyDescent="0.4">
      <c r="C107" s="27"/>
      <c r="D107" s="60" t="s">
        <v>312</v>
      </c>
      <c r="E107" s="60"/>
      <c r="F107" s="58"/>
      <c r="G107" s="58"/>
      <c r="H107" s="58"/>
      <c r="I107" s="58"/>
      <c r="J107" s="58"/>
      <c r="K107" s="58"/>
      <c r="L107" s="58"/>
      <c r="M107" s="58"/>
      <c r="N107" s="58"/>
      <c r="O107" s="60"/>
      <c r="P107" s="58"/>
      <c r="Q107" s="58"/>
      <c r="R107" s="59"/>
      <c r="T107" s="182"/>
      <c r="U107" s="182"/>
    </row>
    <row r="108" spans="2:21" ht="9.75" customHeight="1" x14ac:dyDescent="0.4">
      <c r="C108" s="27"/>
      <c r="D108" s="64" t="s">
        <v>313</v>
      </c>
      <c r="E108" s="64"/>
      <c r="F108" s="63"/>
      <c r="G108" s="63"/>
      <c r="H108" s="63"/>
      <c r="I108" s="63"/>
      <c r="J108" s="63"/>
      <c r="K108" s="63"/>
      <c r="L108" s="63"/>
      <c r="M108" s="63"/>
      <c r="N108" s="63"/>
      <c r="O108" s="64"/>
      <c r="P108" s="63"/>
      <c r="Q108" s="63"/>
      <c r="R108" s="407"/>
      <c r="T108" s="182"/>
      <c r="U108" s="182"/>
    </row>
    <row r="109" spans="2:21" ht="9.75" customHeight="1" x14ac:dyDescent="0.4">
      <c r="B109" s="219" t="s">
        <v>395</v>
      </c>
      <c r="C109" s="125"/>
      <c r="D109" s="69" t="s">
        <v>314</v>
      </c>
      <c r="E109" s="408">
        <f t="shared" ref="E109:O109" si="5">SUM(E93:E108)</f>
        <v>39</v>
      </c>
      <c r="F109" s="409">
        <f t="shared" si="5"/>
        <v>0</v>
      </c>
      <c r="G109" s="409">
        <f t="shared" si="5"/>
        <v>0</v>
      </c>
      <c r="H109" s="409">
        <f t="shared" si="5"/>
        <v>0</v>
      </c>
      <c r="I109" s="409">
        <f t="shared" si="5"/>
        <v>0</v>
      </c>
      <c r="J109" s="409">
        <f t="shared" si="5"/>
        <v>0</v>
      </c>
      <c r="K109" s="409">
        <f t="shared" si="5"/>
        <v>0</v>
      </c>
      <c r="L109" s="409">
        <f t="shared" si="5"/>
        <v>0</v>
      </c>
      <c r="M109" s="409">
        <f t="shared" si="5"/>
        <v>0</v>
      </c>
      <c r="N109" s="409">
        <f t="shared" si="5"/>
        <v>1</v>
      </c>
      <c r="O109" s="408">
        <f t="shared" si="5"/>
        <v>11</v>
      </c>
      <c r="P109" s="409">
        <f>MIN(F109:O109)</f>
        <v>0</v>
      </c>
      <c r="Q109" s="409">
        <f>E109-P109</f>
        <v>39</v>
      </c>
      <c r="R109" s="410">
        <f>Q109/E109</f>
        <v>1</v>
      </c>
      <c r="T109" s="182"/>
      <c r="U109" s="182"/>
    </row>
    <row r="110" spans="2:21" ht="9.75" customHeight="1" x14ac:dyDescent="0.4">
      <c r="C110" s="27" t="s">
        <v>170</v>
      </c>
      <c r="D110" s="60" t="s">
        <v>300</v>
      </c>
      <c r="E110" s="60"/>
      <c r="F110" s="58"/>
      <c r="G110" s="58"/>
      <c r="H110" s="58"/>
      <c r="I110" s="58"/>
      <c r="J110" s="58"/>
      <c r="K110" s="58"/>
      <c r="L110" s="58"/>
      <c r="M110" s="58"/>
      <c r="N110" s="58"/>
      <c r="O110" s="60"/>
      <c r="P110" s="58"/>
      <c r="Q110" s="58"/>
      <c r="R110" s="59"/>
      <c r="T110" s="182"/>
      <c r="U110" s="182"/>
    </row>
    <row r="111" spans="2:21" ht="9.75" customHeight="1" x14ac:dyDescent="0.4">
      <c r="C111" s="17"/>
      <c r="D111" s="60" t="s">
        <v>301</v>
      </c>
      <c r="E111" s="60"/>
      <c r="F111" s="58"/>
      <c r="G111" s="58"/>
      <c r="H111" s="58"/>
      <c r="I111" s="58"/>
      <c r="J111" s="58"/>
      <c r="K111" s="58"/>
      <c r="L111" s="58"/>
      <c r="M111" s="58"/>
      <c r="N111" s="58"/>
      <c r="O111" s="60"/>
      <c r="P111" s="58"/>
      <c r="Q111" s="58"/>
      <c r="R111" s="59"/>
      <c r="T111" s="182"/>
      <c r="U111" s="182"/>
    </row>
    <row r="112" spans="2:21" ht="9.75" customHeight="1" x14ac:dyDescent="0.4">
      <c r="C112" s="17"/>
      <c r="D112" s="60" t="s">
        <v>303</v>
      </c>
      <c r="E112" s="60"/>
      <c r="F112" s="58"/>
      <c r="G112" s="58"/>
      <c r="H112" s="58"/>
      <c r="I112" s="58"/>
      <c r="J112" s="58"/>
      <c r="K112" s="58"/>
      <c r="L112" s="58"/>
      <c r="M112" s="58"/>
      <c r="N112" s="58"/>
      <c r="O112" s="60"/>
      <c r="P112" s="58"/>
      <c r="Q112" s="58"/>
      <c r="R112" s="59"/>
      <c r="T112" s="182"/>
      <c r="U112" s="182"/>
    </row>
    <row r="113" spans="2:21" ht="9.75" customHeight="1" x14ac:dyDescent="0.4">
      <c r="C113" s="17"/>
      <c r="D113" s="60" t="s">
        <v>409</v>
      </c>
      <c r="E113" s="123">
        <f>35-10</f>
        <v>25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1</v>
      </c>
      <c r="N113" s="74">
        <v>0</v>
      </c>
      <c r="O113" s="123">
        <v>2</v>
      </c>
      <c r="P113" s="74">
        <f>MIN(F113:O113)</f>
        <v>0</v>
      </c>
      <c r="Q113" s="74">
        <f>E113-P113</f>
        <v>25</v>
      </c>
      <c r="R113" s="75">
        <f>Q113/E113</f>
        <v>1</v>
      </c>
      <c r="T113" s="182"/>
      <c r="U113" s="182"/>
    </row>
    <row r="114" spans="2:21" ht="9.75" customHeight="1" x14ac:dyDescent="0.4">
      <c r="C114" s="27"/>
      <c r="D114" s="60" t="s">
        <v>369</v>
      </c>
      <c r="E114" s="60"/>
      <c r="F114" s="58"/>
      <c r="G114" s="58"/>
      <c r="H114" s="58"/>
      <c r="I114" s="58"/>
      <c r="J114" s="58"/>
      <c r="K114" s="58"/>
      <c r="L114" s="58"/>
      <c r="M114" s="58"/>
      <c r="N114" s="58"/>
      <c r="O114" s="60"/>
      <c r="P114" s="58"/>
      <c r="Q114" s="58"/>
      <c r="R114" s="59"/>
      <c r="T114" s="182"/>
      <c r="U114" s="182"/>
    </row>
    <row r="115" spans="2:21" ht="9.75" customHeight="1" x14ac:dyDescent="0.4">
      <c r="C115" s="27"/>
      <c r="D115" s="60" t="s">
        <v>308</v>
      </c>
      <c r="E115" s="60"/>
      <c r="F115" s="58"/>
      <c r="G115" s="58"/>
      <c r="H115" s="58"/>
      <c r="I115" s="58"/>
      <c r="J115" s="58"/>
      <c r="K115" s="58"/>
      <c r="L115" s="58"/>
      <c r="M115" s="58"/>
      <c r="N115" s="58"/>
      <c r="O115" s="60"/>
      <c r="P115" s="58"/>
      <c r="Q115" s="58"/>
      <c r="R115" s="59"/>
      <c r="T115" s="182"/>
      <c r="U115" s="182"/>
    </row>
    <row r="116" spans="2:21" ht="9.75" customHeight="1" x14ac:dyDescent="0.4">
      <c r="C116" s="27"/>
      <c r="D116" s="60" t="s">
        <v>514</v>
      </c>
      <c r="E116" s="123">
        <v>4</v>
      </c>
      <c r="F116" s="74">
        <v>1</v>
      </c>
      <c r="G116" s="74">
        <v>3</v>
      </c>
      <c r="H116" s="74">
        <v>3</v>
      </c>
      <c r="I116" s="74">
        <v>2</v>
      </c>
      <c r="J116" s="74">
        <v>3</v>
      </c>
      <c r="K116" s="74">
        <v>3</v>
      </c>
      <c r="L116" s="74">
        <v>2</v>
      </c>
      <c r="M116" s="74">
        <v>1</v>
      </c>
      <c r="N116" s="74">
        <v>0</v>
      </c>
      <c r="O116" s="123">
        <v>1</v>
      </c>
      <c r="P116" s="74">
        <f>MIN(F116:O116)</f>
        <v>0</v>
      </c>
      <c r="Q116" s="74">
        <f>E116-P116</f>
        <v>4</v>
      </c>
      <c r="R116" s="75">
        <f>Q116/E116</f>
        <v>1</v>
      </c>
      <c r="T116" s="182"/>
      <c r="U116" s="182"/>
    </row>
    <row r="117" spans="2:21" ht="9.75" customHeight="1" x14ac:dyDescent="0.4">
      <c r="C117" s="27"/>
      <c r="D117" s="60" t="s">
        <v>374</v>
      </c>
      <c r="E117" s="60"/>
      <c r="F117" s="58"/>
      <c r="G117" s="58"/>
      <c r="H117" s="58"/>
      <c r="I117" s="58"/>
      <c r="J117" s="58"/>
      <c r="K117" s="58"/>
      <c r="L117" s="58"/>
      <c r="M117" s="58"/>
      <c r="N117" s="58"/>
      <c r="O117" s="60"/>
      <c r="P117" s="58"/>
      <c r="Q117" s="58"/>
      <c r="R117" s="59"/>
      <c r="T117" s="182"/>
      <c r="U117" s="182"/>
    </row>
    <row r="118" spans="2:21" ht="9.75" customHeight="1" x14ac:dyDescent="0.4">
      <c r="C118" s="27"/>
      <c r="D118" s="60" t="s">
        <v>374</v>
      </c>
      <c r="E118" s="60"/>
      <c r="F118" s="58"/>
      <c r="G118" s="58"/>
      <c r="H118" s="58"/>
      <c r="I118" s="58"/>
      <c r="J118" s="58"/>
      <c r="K118" s="58"/>
      <c r="L118" s="58"/>
      <c r="M118" s="58"/>
      <c r="N118" s="58"/>
      <c r="O118" s="60"/>
      <c r="P118" s="58"/>
      <c r="Q118" s="58"/>
      <c r="R118" s="59"/>
      <c r="T118" s="182"/>
      <c r="U118" s="182"/>
    </row>
    <row r="119" spans="2:21" ht="9.75" customHeight="1" x14ac:dyDescent="0.4">
      <c r="C119" s="27"/>
      <c r="D119" s="60" t="s">
        <v>374</v>
      </c>
      <c r="E119" s="60"/>
      <c r="F119" s="58"/>
      <c r="G119" s="58"/>
      <c r="H119" s="58"/>
      <c r="I119" s="58"/>
      <c r="J119" s="58"/>
      <c r="K119" s="58"/>
      <c r="L119" s="58"/>
      <c r="M119" s="58"/>
      <c r="N119" s="58"/>
      <c r="O119" s="60"/>
      <c r="P119" s="58"/>
      <c r="Q119" s="58"/>
      <c r="R119" s="59"/>
      <c r="T119" s="182"/>
      <c r="U119" s="182"/>
    </row>
    <row r="120" spans="2:21" ht="9.75" customHeight="1" x14ac:dyDescent="0.4">
      <c r="C120" s="27"/>
      <c r="D120" s="60" t="s">
        <v>374</v>
      </c>
      <c r="E120" s="60"/>
      <c r="F120" s="58"/>
      <c r="G120" s="58"/>
      <c r="H120" s="58"/>
      <c r="I120" s="58"/>
      <c r="J120" s="58"/>
      <c r="K120" s="58"/>
      <c r="L120" s="58"/>
      <c r="M120" s="58"/>
      <c r="N120" s="58"/>
      <c r="O120" s="60"/>
      <c r="P120" s="58"/>
      <c r="Q120" s="58"/>
      <c r="R120" s="59"/>
      <c r="T120" s="182"/>
      <c r="U120" s="182"/>
    </row>
    <row r="121" spans="2:21" ht="9.75" customHeight="1" x14ac:dyDescent="0.4">
      <c r="C121" s="27"/>
      <c r="D121" s="60" t="s">
        <v>374</v>
      </c>
      <c r="E121" s="60"/>
      <c r="F121" s="58"/>
      <c r="G121" s="58"/>
      <c r="H121" s="58"/>
      <c r="I121" s="58"/>
      <c r="J121" s="58"/>
      <c r="K121" s="58"/>
      <c r="L121" s="58"/>
      <c r="M121" s="58"/>
      <c r="N121" s="58"/>
      <c r="O121" s="60"/>
      <c r="P121" s="58"/>
      <c r="Q121" s="58"/>
      <c r="R121" s="59"/>
      <c r="T121" s="182"/>
      <c r="U121" s="182"/>
    </row>
    <row r="122" spans="2:21" ht="9.75" customHeight="1" x14ac:dyDescent="0.4">
      <c r="C122" s="27"/>
      <c r="D122" s="60" t="s">
        <v>310</v>
      </c>
      <c r="E122" s="60"/>
      <c r="F122" s="58"/>
      <c r="G122" s="58"/>
      <c r="H122" s="58"/>
      <c r="I122" s="58"/>
      <c r="J122" s="58"/>
      <c r="K122" s="58"/>
      <c r="L122" s="58"/>
      <c r="M122" s="58"/>
      <c r="N122" s="58"/>
      <c r="O122" s="60"/>
      <c r="P122" s="58"/>
      <c r="Q122" s="58"/>
      <c r="R122" s="59"/>
      <c r="T122" s="182"/>
      <c r="U122" s="182"/>
    </row>
    <row r="123" spans="2:21" ht="9.75" customHeight="1" x14ac:dyDescent="0.4">
      <c r="C123" s="27"/>
      <c r="D123" s="60" t="s">
        <v>311</v>
      </c>
      <c r="E123" s="60"/>
      <c r="F123" s="58"/>
      <c r="G123" s="58"/>
      <c r="H123" s="58"/>
      <c r="I123" s="58"/>
      <c r="J123" s="58"/>
      <c r="K123" s="58"/>
      <c r="L123" s="58"/>
      <c r="M123" s="58"/>
      <c r="N123" s="58"/>
      <c r="O123" s="60"/>
      <c r="P123" s="58"/>
      <c r="Q123" s="58"/>
      <c r="R123" s="59"/>
      <c r="T123" s="182"/>
      <c r="U123" s="182"/>
    </row>
    <row r="124" spans="2:21" ht="9.75" customHeight="1" x14ac:dyDescent="0.4">
      <c r="C124" s="27"/>
      <c r="D124" s="60" t="s">
        <v>312</v>
      </c>
      <c r="E124" s="60"/>
      <c r="F124" s="58"/>
      <c r="G124" s="58"/>
      <c r="H124" s="58"/>
      <c r="I124" s="58"/>
      <c r="J124" s="58"/>
      <c r="K124" s="58"/>
      <c r="L124" s="58"/>
      <c r="M124" s="58"/>
      <c r="N124" s="58"/>
      <c r="O124" s="60"/>
      <c r="P124" s="58"/>
      <c r="Q124" s="58"/>
      <c r="R124" s="59"/>
      <c r="T124" s="182"/>
      <c r="U124" s="182"/>
    </row>
    <row r="125" spans="2:21" ht="9.75" customHeight="1" x14ac:dyDescent="0.4">
      <c r="C125" s="27"/>
      <c r="D125" s="64" t="s">
        <v>313</v>
      </c>
      <c r="E125" s="64"/>
      <c r="F125" s="63"/>
      <c r="G125" s="63"/>
      <c r="H125" s="63"/>
      <c r="I125" s="63"/>
      <c r="J125" s="63"/>
      <c r="K125" s="63"/>
      <c r="L125" s="63"/>
      <c r="M125" s="63"/>
      <c r="N125" s="63"/>
      <c r="O125" s="64"/>
      <c r="P125" s="63"/>
      <c r="Q125" s="63"/>
      <c r="R125" s="407"/>
      <c r="T125" s="182"/>
      <c r="U125" s="182"/>
    </row>
    <row r="126" spans="2:21" ht="9.75" customHeight="1" x14ac:dyDescent="0.4">
      <c r="B126" s="219" t="s">
        <v>395</v>
      </c>
      <c r="C126" s="125"/>
      <c r="D126" s="69" t="s">
        <v>314</v>
      </c>
      <c r="E126" s="408">
        <f t="shared" ref="E126:O126" si="6">SUM(E110:E125)</f>
        <v>29</v>
      </c>
      <c r="F126" s="409">
        <f t="shared" si="6"/>
        <v>1</v>
      </c>
      <c r="G126" s="409">
        <f t="shared" si="6"/>
        <v>3</v>
      </c>
      <c r="H126" s="409">
        <f t="shared" si="6"/>
        <v>3</v>
      </c>
      <c r="I126" s="409">
        <f t="shared" si="6"/>
        <v>2</v>
      </c>
      <c r="J126" s="409">
        <f t="shared" si="6"/>
        <v>3</v>
      </c>
      <c r="K126" s="409">
        <f t="shared" si="6"/>
        <v>3</v>
      </c>
      <c r="L126" s="409">
        <f t="shared" si="6"/>
        <v>2</v>
      </c>
      <c r="M126" s="409">
        <f t="shared" si="6"/>
        <v>2</v>
      </c>
      <c r="N126" s="409">
        <f t="shared" si="6"/>
        <v>0</v>
      </c>
      <c r="O126" s="408">
        <f t="shared" si="6"/>
        <v>3</v>
      </c>
      <c r="P126" s="409">
        <f>MIN(F126:O126)</f>
        <v>0</v>
      </c>
      <c r="Q126" s="409">
        <f>E126-P126</f>
        <v>29</v>
      </c>
      <c r="R126" s="410">
        <f>Q126/E126</f>
        <v>1</v>
      </c>
      <c r="T126" s="182"/>
      <c r="U126" s="182"/>
    </row>
    <row r="127" spans="2:21" ht="9.75" customHeight="1" x14ac:dyDescent="0.4">
      <c r="C127" s="27" t="s">
        <v>182</v>
      </c>
      <c r="D127" s="60" t="s">
        <v>300</v>
      </c>
      <c r="E127" s="60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11"/>
      <c r="Q127" s="411"/>
      <c r="R127" s="332"/>
      <c r="T127" s="182"/>
      <c r="U127" s="182"/>
    </row>
    <row r="128" spans="2:21" ht="9.75" customHeight="1" x14ac:dyDescent="0.4">
      <c r="C128" s="17"/>
      <c r="D128" s="60" t="s">
        <v>301</v>
      </c>
      <c r="E128" s="60"/>
      <c r="F128" s="411"/>
      <c r="G128" s="411"/>
      <c r="H128" s="411"/>
      <c r="I128" s="411"/>
      <c r="J128" s="411"/>
      <c r="K128" s="411"/>
      <c r="L128" s="411"/>
      <c r="M128" s="411"/>
      <c r="N128" s="411"/>
      <c r="O128" s="412"/>
      <c r="P128" s="411"/>
      <c r="Q128" s="411"/>
      <c r="R128" s="332"/>
      <c r="T128" s="182"/>
      <c r="U128" s="182"/>
    </row>
    <row r="129" spans="2:21" ht="9.75" customHeight="1" x14ac:dyDescent="0.4">
      <c r="C129" s="17"/>
      <c r="D129" s="60" t="s">
        <v>303</v>
      </c>
      <c r="E129" s="60"/>
      <c r="F129" s="411"/>
      <c r="G129" s="411"/>
      <c r="H129" s="411"/>
      <c r="I129" s="411"/>
      <c r="J129" s="411"/>
      <c r="K129" s="411"/>
      <c r="L129" s="411"/>
      <c r="M129" s="411"/>
      <c r="N129" s="411"/>
      <c r="O129" s="412"/>
      <c r="P129" s="411"/>
      <c r="Q129" s="411"/>
      <c r="R129" s="332"/>
      <c r="T129" s="182"/>
      <c r="U129" s="182"/>
    </row>
    <row r="130" spans="2:21" ht="9.75" customHeight="1" x14ac:dyDescent="0.4">
      <c r="C130" s="17"/>
      <c r="D130" s="60" t="s">
        <v>369</v>
      </c>
      <c r="E130" s="60"/>
      <c r="F130" s="411"/>
      <c r="G130" s="411"/>
      <c r="H130" s="411"/>
      <c r="I130" s="411"/>
      <c r="J130" s="411"/>
      <c r="K130" s="411"/>
      <c r="L130" s="411"/>
      <c r="M130" s="411"/>
      <c r="N130" s="411"/>
      <c r="O130" s="412"/>
      <c r="P130" s="411"/>
      <c r="Q130" s="411"/>
      <c r="R130" s="332"/>
      <c r="T130" s="182"/>
      <c r="U130" s="182"/>
    </row>
    <row r="131" spans="2:21" ht="9.75" customHeight="1" x14ac:dyDescent="0.4">
      <c r="C131" s="27"/>
      <c r="D131" s="60" t="s">
        <v>369</v>
      </c>
      <c r="E131" s="60"/>
      <c r="F131" s="411"/>
      <c r="G131" s="411"/>
      <c r="H131" s="411"/>
      <c r="I131" s="411"/>
      <c r="J131" s="411"/>
      <c r="K131" s="411"/>
      <c r="L131" s="411"/>
      <c r="M131" s="411"/>
      <c r="N131" s="411"/>
      <c r="O131" s="412"/>
      <c r="P131" s="411"/>
      <c r="Q131" s="411"/>
      <c r="R131" s="332"/>
      <c r="T131" s="182"/>
      <c r="U131" s="182"/>
    </row>
    <row r="132" spans="2:21" ht="9.75" customHeight="1" x14ac:dyDescent="0.4">
      <c r="C132" s="27"/>
      <c r="D132" s="60" t="s">
        <v>308</v>
      </c>
      <c r="E132" s="60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411"/>
      <c r="Q132" s="411"/>
      <c r="R132" s="332"/>
      <c r="T132" s="182"/>
      <c r="U132" s="182"/>
    </row>
    <row r="133" spans="2:21" ht="9.75" customHeight="1" x14ac:dyDescent="0.4">
      <c r="C133" s="27"/>
      <c r="D133" s="60" t="s">
        <v>515</v>
      </c>
      <c r="E133" s="123">
        <v>2</v>
      </c>
      <c r="F133" s="327">
        <v>0</v>
      </c>
      <c r="G133" s="327">
        <v>0</v>
      </c>
      <c r="H133" s="327">
        <v>1</v>
      </c>
      <c r="I133" s="327">
        <v>1</v>
      </c>
      <c r="J133" s="327">
        <v>1</v>
      </c>
      <c r="K133" s="327">
        <v>1</v>
      </c>
      <c r="L133" s="327">
        <v>1</v>
      </c>
      <c r="M133" s="327">
        <v>1</v>
      </c>
      <c r="N133" s="327">
        <v>1</v>
      </c>
      <c r="O133" s="328">
        <v>1</v>
      </c>
      <c r="P133" s="74">
        <f>MIN(F133:O133)</f>
        <v>0</v>
      </c>
      <c r="Q133" s="74">
        <f>E133-P133</f>
        <v>2</v>
      </c>
      <c r="R133" s="75">
        <f>Q133/E133</f>
        <v>1</v>
      </c>
      <c r="T133" s="182"/>
      <c r="U133" s="182"/>
    </row>
    <row r="134" spans="2:21" ht="9.75" customHeight="1" x14ac:dyDescent="0.4">
      <c r="C134" s="27"/>
      <c r="D134" s="60" t="s">
        <v>374</v>
      </c>
      <c r="E134" s="60"/>
      <c r="F134" s="411"/>
      <c r="G134" s="411"/>
      <c r="H134" s="411"/>
      <c r="I134" s="411"/>
      <c r="J134" s="411"/>
      <c r="K134" s="411"/>
      <c r="L134" s="411"/>
      <c r="M134" s="411"/>
      <c r="N134" s="411"/>
      <c r="O134" s="412"/>
      <c r="P134" s="411"/>
      <c r="Q134" s="411"/>
      <c r="R134" s="332"/>
      <c r="T134" s="182"/>
      <c r="U134" s="182"/>
    </row>
    <row r="135" spans="2:21" ht="9.75" customHeight="1" x14ac:dyDescent="0.4">
      <c r="C135" s="27"/>
      <c r="D135" s="60" t="s">
        <v>374</v>
      </c>
      <c r="E135" s="60"/>
      <c r="F135" s="411"/>
      <c r="G135" s="411"/>
      <c r="H135" s="411"/>
      <c r="I135" s="411"/>
      <c r="J135" s="411"/>
      <c r="K135" s="411"/>
      <c r="L135" s="411"/>
      <c r="M135" s="411"/>
      <c r="N135" s="411"/>
      <c r="O135" s="412"/>
      <c r="P135" s="411"/>
      <c r="Q135" s="411"/>
      <c r="R135" s="332"/>
      <c r="T135" s="182"/>
      <c r="U135" s="182"/>
    </row>
    <row r="136" spans="2:21" ht="9.75" customHeight="1" x14ac:dyDescent="0.4">
      <c r="C136" s="27"/>
      <c r="D136" s="60" t="s">
        <v>374</v>
      </c>
      <c r="E136" s="60"/>
      <c r="F136" s="411"/>
      <c r="G136" s="411"/>
      <c r="H136" s="411"/>
      <c r="I136" s="411"/>
      <c r="J136" s="411"/>
      <c r="K136" s="411"/>
      <c r="L136" s="411"/>
      <c r="M136" s="411"/>
      <c r="N136" s="411"/>
      <c r="O136" s="412"/>
      <c r="P136" s="411"/>
      <c r="Q136" s="411"/>
      <c r="R136" s="332"/>
      <c r="T136" s="182"/>
      <c r="U136" s="182"/>
    </row>
    <row r="137" spans="2:21" ht="9.75" customHeight="1" x14ac:dyDescent="0.4">
      <c r="C137" s="27"/>
      <c r="D137" s="60" t="s">
        <v>374</v>
      </c>
      <c r="E137" s="60"/>
      <c r="F137" s="411"/>
      <c r="G137" s="411"/>
      <c r="H137" s="411"/>
      <c r="I137" s="411"/>
      <c r="J137" s="411"/>
      <c r="K137" s="411"/>
      <c r="L137" s="411"/>
      <c r="M137" s="411"/>
      <c r="N137" s="411"/>
      <c r="O137" s="412"/>
      <c r="P137" s="411"/>
      <c r="Q137" s="411"/>
      <c r="R137" s="332"/>
      <c r="T137" s="182"/>
      <c r="U137" s="182"/>
    </row>
    <row r="138" spans="2:21" ht="9.75" customHeight="1" x14ac:dyDescent="0.4">
      <c r="C138" s="27"/>
      <c r="D138" s="60" t="s">
        <v>374</v>
      </c>
      <c r="E138" s="60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11"/>
      <c r="Q138" s="411"/>
      <c r="R138" s="332"/>
      <c r="T138" s="182"/>
      <c r="U138" s="182"/>
    </row>
    <row r="139" spans="2:21" ht="9.75" customHeight="1" x14ac:dyDescent="0.4">
      <c r="C139" s="27"/>
      <c r="D139" s="60" t="s">
        <v>310</v>
      </c>
      <c r="E139" s="123">
        <v>10</v>
      </c>
      <c r="F139" s="327">
        <v>0</v>
      </c>
      <c r="G139" s="327">
        <v>0</v>
      </c>
      <c r="H139" s="327">
        <v>0</v>
      </c>
      <c r="I139" s="327">
        <v>0</v>
      </c>
      <c r="J139" s="327">
        <v>0</v>
      </c>
      <c r="K139" s="327">
        <v>0</v>
      </c>
      <c r="L139" s="327">
        <v>0</v>
      </c>
      <c r="M139" s="327">
        <v>0</v>
      </c>
      <c r="N139" s="327">
        <v>3</v>
      </c>
      <c r="O139" s="328">
        <v>4</v>
      </c>
      <c r="P139" s="74">
        <f t="shared" ref="P139:P140" si="7">MIN(F139:O139)</f>
        <v>0</v>
      </c>
      <c r="Q139" s="74">
        <f t="shared" ref="Q139:Q140" si="8">E139-P139</f>
        <v>10</v>
      </c>
      <c r="R139" s="75">
        <f t="shared" ref="R139:R140" si="9">Q139/E139</f>
        <v>1</v>
      </c>
      <c r="T139" s="182"/>
      <c r="U139" s="182"/>
    </row>
    <row r="140" spans="2:21" ht="9.75" customHeight="1" x14ac:dyDescent="0.4">
      <c r="C140" s="27"/>
      <c r="D140" s="60" t="s">
        <v>311</v>
      </c>
      <c r="E140" s="123">
        <v>2</v>
      </c>
      <c r="F140" s="327">
        <v>0</v>
      </c>
      <c r="G140" s="327">
        <v>1</v>
      </c>
      <c r="H140" s="327">
        <v>1</v>
      </c>
      <c r="I140" s="327">
        <v>1</v>
      </c>
      <c r="J140" s="327">
        <v>1</v>
      </c>
      <c r="K140" s="327">
        <v>1</v>
      </c>
      <c r="L140" s="327">
        <v>2</v>
      </c>
      <c r="M140" s="327">
        <v>1</v>
      </c>
      <c r="N140" s="327">
        <v>1</v>
      </c>
      <c r="O140" s="328">
        <v>0</v>
      </c>
      <c r="P140" s="74">
        <f t="shared" si="7"/>
        <v>0</v>
      </c>
      <c r="Q140" s="74">
        <f t="shared" si="8"/>
        <v>2</v>
      </c>
      <c r="R140" s="75">
        <f t="shared" si="9"/>
        <v>1</v>
      </c>
      <c r="T140" s="182"/>
      <c r="U140" s="182"/>
    </row>
    <row r="141" spans="2:21" ht="9.75" customHeight="1" x14ac:dyDescent="0.4">
      <c r="C141" s="27"/>
      <c r="D141" s="60" t="s">
        <v>312</v>
      </c>
      <c r="E141" s="60"/>
      <c r="F141" s="411"/>
      <c r="G141" s="411"/>
      <c r="H141" s="411"/>
      <c r="I141" s="411"/>
      <c r="J141" s="411"/>
      <c r="K141" s="411"/>
      <c r="L141" s="411"/>
      <c r="M141" s="411"/>
      <c r="N141" s="411"/>
      <c r="O141" s="412"/>
      <c r="P141" s="411"/>
      <c r="Q141" s="411"/>
      <c r="R141" s="332"/>
      <c r="T141" s="182"/>
      <c r="U141" s="182"/>
    </row>
    <row r="142" spans="2:21" ht="9.75" customHeight="1" x14ac:dyDescent="0.4">
      <c r="C142" s="27"/>
      <c r="D142" s="64" t="s">
        <v>313</v>
      </c>
      <c r="E142" s="64"/>
      <c r="F142" s="413"/>
      <c r="G142" s="413"/>
      <c r="H142" s="413"/>
      <c r="I142" s="413"/>
      <c r="J142" s="413"/>
      <c r="K142" s="413"/>
      <c r="L142" s="413"/>
      <c r="M142" s="413"/>
      <c r="N142" s="413"/>
      <c r="O142" s="414"/>
      <c r="P142" s="413"/>
      <c r="Q142" s="413"/>
      <c r="R142" s="415"/>
      <c r="T142" s="182"/>
      <c r="U142" s="182"/>
    </row>
    <row r="143" spans="2:21" ht="9.75" customHeight="1" x14ac:dyDescent="0.4">
      <c r="B143" s="219" t="s">
        <v>395</v>
      </c>
      <c r="C143" s="125"/>
      <c r="D143" s="69" t="s">
        <v>314</v>
      </c>
      <c r="E143" s="408">
        <f t="shared" ref="E143:O143" si="10">SUM(E127:E142)</f>
        <v>14</v>
      </c>
      <c r="F143" s="409">
        <f t="shared" si="10"/>
        <v>0</v>
      </c>
      <c r="G143" s="409">
        <f t="shared" si="10"/>
        <v>1</v>
      </c>
      <c r="H143" s="409">
        <f t="shared" si="10"/>
        <v>2</v>
      </c>
      <c r="I143" s="409">
        <f t="shared" si="10"/>
        <v>2</v>
      </c>
      <c r="J143" s="409">
        <f t="shared" si="10"/>
        <v>2</v>
      </c>
      <c r="K143" s="409">
        <f t="shared" si="10"/>
        <v>2</v>
      </c>
      <c r="L143" s="409">
        <f t="shared" si="10"/>
        <v>3</v>
      </c>
      <c r="M143" s="409">
        <f t="shared" si="10"/>
        <v>2</v>
      </c>
      <c r="N143" s="409">
        <f t="shared" si="10"/>
        <v>5</v>
      </c>
      <c r="O143" s="408">
        <f t="shared" si="10"/>
        <v>5</v>
      </c>
      <c r="P143" s="409">
        <f>MIN(F143:O143)</f>
        <v>0</v>
      </c>
      <c r="Q143" s="409">
        <f>E143-P143</f>
        <v>14</v>
      </c>
      <c r="R143" s="410">
        <f>Q143/E143</f>
        <v>1</v>
      </c>
      <c r="T143" s="182"/>
      <c r="U143" s="182"/>
    </row>
    <row r="144" spans="2:21" ht="9.75" customHeight="1" x14ac:dyDescent="0.4">
      <c r="C144" s="27" t="s">
        <v>192</v>
      </c>
      <c r="D144" s="60" t="s">
        <v>300</v>
      </c>
      <c r="E144" s="60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11"/>
      <c r="Q144" s="411"/>
      <c r="R144" s="332"/>
      <c r="T144" s="182"/>
      <c r="U144" s="182"/>
    </row>
    <row r="145" spans="2:21" ht="9.75" customHeight="1" x14ac:dyDescent="0.4">
      <c r="C145" s="17"/>
      <c r="D145" s="60" t="s">
        <v>301</v>
      </c>
      <c r="E145" s="60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11"/>
      <c r="Q145" s="411"/>
      <c r="R145" s="332"/>
      <c r="T145" s="182"/>
      <c r="U145" s="182"/>
    </row>
    <row r="146" spans="2:21" ht="9.75" customHeight="1" x14ac:dyDescent="0.4">
      <c r="C146" s="17"/>
      <c r="D146" s="60" t="s">
        <v>303</v>
      </c>
      <c r="E146" s="60"/>
      <c r="F146" s="411"/>
      <c r="G146" s="411"/>
      <c r="H146" s="411"/>
      <c r="I146" s="411"/>
      <c r="J146" s="411"/>
      <c r="K146" s="411"/>
      <c r="L146" s="411"/>
      <c r="M146" s="411"/>
      <c r="N146" s="411"/>
      <c r="O146" s="412"/>
      <c r="P146" s="411"/>
      <c r="Q146" s="411"/>
      <c r="R146" s="332"/>
      <c r="T146" s="182"/>
      <c r="U146" s="182"/>
    </row>
    <row r="147" spans="2:21" ht="9.75" customHeight="1" x14ac:dyDescent="0.4">
      <c r="C147" s="17"/>
      <c r="D147" s="60" t="s">
        <v>369</v>
      </c>
      <c r="E147" s="60"/>
      <c r="F147" s="411"/>
      <c r="G147" s="411"/>
      <c r="H147" s="411"/>
      <c r="I147" s="411"/>
      <c r="J147" s="411"/>
      <c r="K147" s="411"/>
      <c r="L147" s="411"/>
      <c r="M147" s="411"/>
      <c r="N147" s="411"/>
      <c r="O147" s="412"/>
      <c r="P147" s="411"/>
      <c r="Q147" s="411"/>
      <c r="R147" s="332"/>
      <c r="T147" s="182"/>
      <c r="U147" s="182"/>
    </row>
    <row r="148" spans="2:21" ht="9.75" customHeight="1" x14ac:dyDescent="0.4">
      <c r="C148" s="27"/>
      <c r="D148" s="60" t="s">
        <v>369</v>
      </c>
      <c r="E148" s="60"/>
      <c r="F148" s="416"/>
      <c r="G148" s="411"/>
      <c r="H148" s="411"/>
      <c r="I148" s="411"/>
      <c r="J148" s="411"/>
      <c r="K148" s="411"/>
      <c r="L148" s="411"/>
      <c r="M148" s="411"/>
      <c r="N148" s="411"/>
      <c r="O148" s="412"/>
      <c r="P148" s="411"/>
      <c r="Q148" s="411"/>
      <c r="R148" s="332"/>
      <c r="T148" s="182"/>
      <c r="U148" s="182"/>
    </row>
    <row r="149" spans="2:21" ht="9.75" customHeight="1" x14ac:dyDescent="0.4">
      <c r="C149" s="27"/>
      <c r="D149" s="60" t="s">
        <v>308</v>
      </c>
      <c r="E149" s="123">
        <v>19</v>
      </c>
      <c r="F149" s="327">
        <v>18</v>
      </c>
      <c r="G149" s="327">
        <v>17</v>
      </c>
      <c r="H149" s="327">
        <v>16</v>
      </c>
      <c r="I149" s="327">
        <v>16</v>
      </c>
      <c r="J149" s="327">
        <v>16</v>
      </c>
      <c r="K149" s="327">
        <v>15</v>
      </c>
      <c r="L149" s="327">
        <v>15</v>
      </c>
      <c r="M149" s="327">
        <v>16</v>
      </c>
      <c r="N149" s="327">
        <v>17</v>
      </c>
      <c r="O149" s="328">
        <v>17</v>
      </c>
      <c r="P149" s="74">
        <f t="shared" ref="P149:P150" si="11">MIN(F149:O149)</f>
        <v>15</v>
      </c>
      <c r="Q149" s="74">
        <f t="shared" ref="Q149:Q150" si="12">E149-P149</f>
        <v>4</v>
      </c>
      <c r="R149" s="75">
        <f t="shared" ref="R149:R150" si="13">Q149/E149</f>
        <v>0.21052631578947367</v>
      </c>
      <c r="T149" s="182"/>
      <c r="U149" s="182"/>
    </row>
    <row r="150" spans="2:21" ht="9.75" customHeight="1" x14ac:dyDescent="0.4">
      <c r="C150" s="27"/>
      <c r="D150" s="60" t="s">
        <v>372</v>
      </c>
      <c r="E150" s="123">
        <v>12</v>
      </c>
      <c r="F150" s="327">
        <v>5</v>
      </c>
      <c r="G150" s="327">
        <v>3</v>
      </c>
      <c r="H150" s="327">
        <v>6</v>
      </c>
      <c r="I150" s="327">
        <v>6</v>
      </c>
      <c r="J150" s="327">
        <v>5</v>
      </c>
      <c r="K150" s="327">
        <v>3</v>
      </c>
      <c r="L150" s="327">
        <v>4</v>
      </c>
      <c r="M150" s="327">
        <v>7</v>
      </c>
      <c r="N150" s="327">
        <v>8</v>
      </c>
      <c r="O150" s="328">
        <v>9</v>
      </c>
      <c r="P150" s="74">
        <f t="shared" si="11"/>
        <v>3</v>
      </c>
      <c r="Q150" s="74">
        <f t="shared" si="12"/>
        <v>9</v>
      </c>
      <c r="R150" s="75">
        <f t="shared" si="13"/>
        <v>0.75</v>
      </c>
      <c r="T150" s="182"/>
      <c r="U150" s="182"/>
    </row>
    <row r="151" spans="2:21" ht="9.75" customHeight="1" x14ac:dyDescent="0.4">
      <c r="C151" s="27"/>
      <c r="D151" s="60" t="s">
        <v>374</v>
      </c>
      <c r="E151" s="60"/>
      <c r="F151" s="411"/>
      <c r="G151" s="411"/>
      <c r="H151" s="411"/>
      <c r="I151" s="411"/>
      <c r="J151" s="411"/>
      <c r="K151" s="411"/>
      <c r="L151" s="411"/>
      <c r="M151" s="411"/>
      <c r="N151" s="411"/>
      <c r="O151" s="412"/>
      <c r="P151" s="411"/>
      <c r="Q151" s="411"/>
      <c r="R151" s="332"/>
      <c r="T151" s="182"/>
      <c r="U151" s="182"/>
    </row>
    <row r="152" spans="2:21" ht="9.75" customHeight="1" x14ac:dyDescent="0.4">
      <c r="C152" s="27"/>
      <c r="D152" s="60" t="s">
        <v>374</v>
      </c>
      <c r="E152" s="60"/>
      <c r="F152" s="411"/>
      <c r="G152" s="411"/>
      <c r="H152" s="411"/>
      <c r="I152" s="411"/>
      <c r="J152" s="411"/>
      <c r="K152" s="411"/>
      <c r="L152" s="411"/>
      <c r="M152" s="411"/>
      <c r="N152" s="411"/>
      <c r="O152" s="412"/>
      <c r="P152" s="411"/>
      <c r="Q152" s="411"/>
      <c r="R152" s="332"/>
      <c r="T152" s="182"/>
      <c r="U152" s="182"/>
    </row>
    <row r="153" spans="2:21" ht="9.75" customHeight="1" x14ac:dyDescent="0.4">
      <c r="C153" s="27"/>
      <c r="D153" s="60" t="s">
        <v>374</v>
      </c>
      <c r="E153" s="60"/>
      <c r="F153" s="411"/>
      <c r="G153" s="411"/>
      <c r="H153" s="411"/>
      <c r="I153" s="411"/>
      <c r="J153" s="411"/>
      <c r="K153" s="411"/>
      <c r="L153" s="411"/>
      <c r="M153" s="411"/>
      <c r="N153" s="411"/>
      <c r="O153" s="412"/>
      <c r="P153" s="411"/>
      <c r="Q153" s="411"/>
      <c r="R153" s="332"/>
      <c r="T153" s="182"/>
      <c r="U153" s="182"/>
    </row>
    <row r="154" spans="2:21" ht="9.75" customHeight="1" x14ac:dyDescent="0.4">
      <c r="C154" s="27"/>
      <c r="D154" s="60" t="s">
        <v>374</v>
      </c>
      <c r="E154" s="60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11"/>
      <c r="Q154" s="411"/>
      <c r="R154" s="332"/>
      <c r="T154" s="182"/>
      <c r="U154" s="182"/>
    </row>
    <row r="155" spans="2:21" ht="9.75" customHeight="1" x14ac:dyDescent="0.4">
      <c r="C155" s="27"/>
      <c r="D155" s="60" t="s">
        <v>374</v>
      </c>
      <c r="E155" s="60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11"/>
      <c r="Q155" s="411"/>
      <c r="R155" s="332"/>
      <c r="T155" s="182"/>
      <c r="U155" s="182"/>
    </row>
    <row r="156" spans="2:21" ht="9.75" customHeight="1" x14ac:dyDescent="0.4">
      <c r="C156" s="27"/>
      <c r="D156" s="60" t="s">
        <v>310</v>
      </c>
      <c r="E156" s="60"/>
      <c r="F156" s="411"/>
      <c r="G156" s="411"/>
      <c r="H156" s="411"/>
      <c r="I156" s="411"/>
      <c r="J156" s="411"/>
      <c r="K156" s="411"/>
      <c r="L156" s="411"/>
      <c r="M156" s="411"/>
      <c r="N156" s="411"/>
      <c r="O156" s="412"/>
      <c r="P156" s="411"/>
      <c r="Q156" s="411"/>
      <c r="R156" s="332"/>
      <c r="T156" s="182"/>
      <c r="U156" s="182"/>
    </row>
    <row r="157" spans="2:21" ht="9.75" customHeight="1" x14ac:dyDescent="0.4">
      <c r="C157" s="27"/>
      <c r="D157" s="60" t="s">
        <v>311</v>
      </c>
      <c r="E157" s="60"/>
      <c r="F157" s="411"/>
      <c r="G157" s="411"/>
      <c r="H157" s="411"/>
      <c r="I157" s="411"/>
      <c r="J157" s="411"/>
      <c r="K157" s="411"/>
      <c r="L157" s="411"/>
      <c r="M157" s="411"/>
      <c r="N157" s="411"/>
      <c r="O157" s="412"/>
      <c r="P157" s="411"/>
      <c r="Q157" s="411"/>
      <c r="R157" s="332"/>
      <c r="T157" s="182"/>
      <c r="U157" s="182"/>
    </row>
    <row r="158" spans="2:21" ht="9.75" customHeight="1" x14ac:dyDescent="0.4">
      <c r="C158" s="27"/>
      <c r="D158" s="60" t="s">
        <v>312</v>
      </c>
      <c r="E158" s="60"/>
      <c r="F158" s="411"/>
      <c r="G158" s="411"/>
      <c r="H158" s="411"/>
      <c r="I158" s="411"/>
      <c r="J158" s="411"/>
      <c r="K158" s="411"/>
      <c r="L158" s="411"/>
      <c r="M158" s="411"/>
      <c r="N158" s="411"/>
      <c r="O158" s="412"/>
      <c r="P158" s="411"/>
      <c r="Q158" s="411"/>
      <c r="R158" s="332"/>
      <c r="T158" s="182"/>
      <c r="U158" s="182"/>
    </row>
    <row r="159" spans="2:21" ht="9.75" customHeight="1" x14ac:dyDescent="0.4">
      <c r="C159" s="27"/>
      <c r="D159" s="64" t="s">
        <v>313</v>
      </c>
      <c r="E159" s="64"/>
      <c r="F159" s="413"/>
      <c r="G159" s="413"/>
      <c r="H159" s="413"/>
      <c r="I159" s="413"/>
      <c r="J159" s="413"/>
      <c r="K159" s="413"/>
      <c r="L159" s="413"/>
      <c r="M159" s="413"/>
      <c r="N159" s="413"/>
      <c r="O159" s="414"/>
      <c r="P159" s="413"/>
      <c r="Q159" s="413"/>
      <c r="R159" s="415"/>
      <c r="T159" s="182"/>
      <c r="U159" s="182"/>
    </row>
    <row r="160" spans="2:21" ht="9.75" customHeight="1" x14ac:dyDescent="0.4">
      <c r="B160" s="219" t="s">
        <v>395</v>
      </c>
      <c r="C160" s="125"/>
      <c r="D160" s="69" t="s">
        <v>314</v>
      </c>
      <c r="E160" s="408">
        <f t="shared" ref="E160:O160" si="14">SUM(E144:E159)</f>
        <v>31</v>
      </c>
      <c r="F160" s="409">
        <f t="shared" si="14"/>
        <v>23</v>
      </c>
      <c r="G160" s="409">
        <f t="shared" si="14"/>
        <v>20</v>
      </c>
      <c r="H160" s="409">
        <f t="shared" si="14"/>
        <v>22</v>
      </c>
      <c r="I160" s="409">
        <f t="shared" si="14"/>
        <v>22</v>
      </c>
      <c r="J160" s="409">
        <f t="shared" si="14"/>
        <v>21</v>
      </c>
      <c r="K160" s="409">
        <f t="shared" si="14"/>
        <v>18</v>
      </c>
      <c r="L160" s="409">
        <f t="shared" si="14"/>
        <v>19</v>
      </c>
      <c r="M160" s="409">
        <f t="shared" si="14"/>
        <v>23</v>
      </c>
      <c r="N160" s="409">
        <f t="shared" si="14"/>
        <v>25</v>
      </c>
      <c r="O160" s="408">
        <f t="shared" si="14"/>
        <v>26</v>
      </c>
      <c r="P160" s="409">
        <f t="shared" ref="P160:P161" si="15">MIN(F160:O160)</f>
        <v>18</v>
      </c>
      <c r="Q160" s="409">
        <f t="shared" ref="Q160:Q161" si="16">E160-P160</f>
        <v>13</v>
      </c>
      <c r="R160" s="410">
        <f t="shared" ref="R160:R161" si="17">Q160/E160</f>
        <v>0.41935483870967744</v>
      </c>
      <c r="T160" s="182"/>
      <c r="U160" s="182"/>
    </row>
    <row r="161" spans="3:21" ht="9.75" customHeight="1" x14ac:dyDescent="0.4">
      <c r="C161" s="27" t="s">
        <v>201</v>
      </c>
      <c r="D161" s="60" t="s">
        <v>300</v>
      </c>
      <c r="E161" s="123">
        <v>44</v>
      </c>
      <c r="F161" s="74">
        <v>1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1</v>
      </c>
      <c r="M161" s="74">
        <v>0</v>
      </c>
      <c r="N161" s="74">
        <v>1</v>
      </c>
      <c r="O161" s="123">
        <v>10</v>
      </c>
      <c r="P161" s="74">
        <f t="shared" si="15"/>
        <v>0</v>
      </c>
      <c r="Q161" s="74">
        <f t="shared" si="16"/>
        <v>44</v>
      </c>
      <c r="R161" s="75">
        <f t="shared" si="17"/>
        <v>1</v>
      </c>
      <c r="T161" s="182"/>
      <c r="U161" s="182"/>
    </row>
    <row r="162" spans="3:21" ht="9.75" customHeight="1" x14ac:dyDescent="0.4">
      <c r="C162" s="17"/>
      <c r="D162" s="60" t="s">
        <v>301</v>
      </c>
      <c r="E162" s="60"/>
      <c r="F162" s="58"/>
      <c r="G162" s="58"/>
      <c r="H162" s="58"/>
      <c r="I162" s="58"/>
      <c r="J162" s="58"/>
      <c r="K162" s="58"/>
      <c r="L162" s="58"/>
      <c r="M162" s="58"/>
      <c r="N162" s="58"/>
      <c r="O162" s="60"/>
      <c r="P162" s="58"/>
      <c r="Q162" s="58"/>
      <c r="R162" s="59"/>
      <c r="T162" s="182"/>
      <c r="U162" s="182"/>
    </row>
    <row r="163" spans="3:21" ht="9.75" customHeight="1" x14ac:dyDescent="0.4">
      <c r="C163" s="17"/>
      <c r="D163" s="60" t="s">
        <v>303</v>
      </c>
      <c r="E163" s="60"/>
      <c r="F163" s="58"/>
      <c r="G163" s="58"/>
      <c r="H163" s="58"/>
      <c r="I163" s="58"/>
      <c r="J163" s="58"/>
      <c r="K163" s="58"/>
      <c r="L163" s="58"/>
      <c r="M163" s="58"/>
      <c r="N163" s="58"/>
      <c r="O163" s="60"/>
      <c r="P163" s="58"/>
      <c r="Q163" s="58"/>
      <c r="R163" s="59"/>
      <c r="T163" s="182"/>
      <c r="U163" s="182"/>
    </row>
    <row r="164" spans="3:21" ht="9.75" customHeight="1" x14ac:dyDescent="0.4">
      <c r="C164" s="17"/>
      <c r="D164" s="60" t="s">
        <v>369</v>
      </c>
      <c r="E164" s="60"/>
      <c r="F164" s="58"/>
      <c r="G164" s="58"/>
      <c r="H164" s="58"/>
      <c r="I164" s="58"/>
      <c r="J164" s="58"/>
      <c r="K164" s="58"/>
      <c r="L164" s="58"/>
      <c r="M164" s="58"/>
      <c r="N164" s="58"/>
      <c r="O164" s="60"/>
      <c r="P164" s="58"/>
      <c r="Q164" s="58"/>
      <c r="R164" s="59"/>
      <c r="T164" s="182"/>
      <c r="U164" s="182"/>
    </row>
    <row r="165" spans="3:21" ht="9.75" customHeight="1" x14ac:dyDescent="0.4">
      <c r="C165" s="27"/>
      <c r="D165" s="60" t="s">
        <v>369</v>
      </c>
      <c r="E165" s="60"/>
      <c r="F165" s="58"/>
      <c r="G165" s="58"/>
      <c r="H165" s="58"/>
      <c r="I165" s="58"/>
      <c r="J165" s="58"/>
      <c r="K165" s="58"/>
      <c r="L165" s="58"/>
      <c r="M165" s="58"/>
      <c r="N165" s="58"/>
      <c r="O165" s="60"/>
      <c r="P165" s="58"/>
      <c r="Q165" s="58"/>
      <c r="R165" s="59"/>
      <c r="T165" s="182"/>
      <c r="U165" s="182"/>
    </row>
    <row r="166" spans="3:21" ht="9.75" customHeight="1" x14ac:dyDescent="0.4">
      <c r="C166" s="27"/>
      <c r="D166" s="60" t="s">
        <v>308</v>
      </c>
      <c r="E166" s="60"/>
      <c r="F166" s="58"/>
      <c r="G166" s="58"/>
      <c r="H166" s="58"/>
      <c r="I166" s="58"/>
      <c r="J166" s="58"/>
      <c r="K166" s="58"/>
      <c r="L166" s="58"/>
      <c r="M166" s="58"/>
      <c r="N166" s="58"/>
      <c r="O166" s="60"/>
      <c r="P166" s="58"/>
      <c r="Q166" s="58"/>
      <c r="R166" s="59"/>
      <c r="T166" s="182"/>
      <c r="U166" s="182"/>
    </row>
    <row r="167" spans="3:21" ht="9.75" customHeight="1" x14ac:dyDescent="0.4">
      <c r="C167" s="27"/>
      <c r="D167" s="60" t="s">
        <v>374</v>
      </c>
      <c r="E167" s="60"/>
      <c r="F167" s="58"/>
      <c r="G167" s="58"/>
      <c r="H167" s="58"/>
      <c r="I167" s="58"/>
      <c r="J167" s="58"/>
      <c r="K167" s="58"/>
      <c r="L167" s="58"/>
      <c r="M167" s="58"/>
      <c r="N167" s="58"/>
      <c r="O167" s="60"/>
      <c r="P167" s="58"/>
      <c r="Q167" s="58"/>
      <c r="R167" s="59"/>
      <c r="T167" s="182"/>
      <c r="U167" s="182"/>
    </row>
    <row r="168" spans="3:21" ht="9.75" customHeight="1" x14ac:dyDescent="0.4">
      <c r="C168" s="27"/>
      <c r="D168" s="60" t="s">
        <v>374</v>
      </c>
      <c r="E168" s="60"/>
      <c r="F168" s="58"/>
      <c r="G168" s="58"/>
      <c r="H168" s="58"/>
      <c r="I168" s="58"/>
      <c r="J168" s="58"/>
      <c r="K168" s="58"/>
      <c r="L168" s="58"/>
      <c r="M168" s="58"/>
      <c r="N168" s="58"/>
      <c r="O168" s="60"/>
      <c r="P168" s="58"/>
      <c r="Q168" s="58"/>
      <c r="R168" s="59"/>
      <c r="T168" s="182"/>
      <c r="U168" s="182"/>
    </row>
    <row r="169" spans="3:21" ht="9.75" customHeight="1" x14ac:dyDescent="0.4">
      <c r="C169" s="27"/>
      <c r="D169" s="60" t="s">
        <v>374</v>
      </c>
      <c r="E169" s="60"/>
      <c r="F169" s="58"/>
      <c r="G169" s="58"/>
      <c r="H169" s="58"/>
      <c r="I169" s="58"/>
      <c r="J169" s="58"/>
      <c r="K169" s="58"/>
      <c r="L169" s="58"/>
      <c r="M169" s="58"/>
      <c r="N169" s="58"/>
      <c r="O169" s="60"/>
      <c r="P169" s="58"/>
      <c r="Q169" s="58"/>
      <c r="R169" s="59"/>
      <c r="T169" s="182"/>
      <c r="U169" s="182"/>
    </row>
    <row r="170" spans="3:21" ht="9.75" customHeight="1" x14ac:dyDescent="0.4">
      <c r="C170" s="27"/>
      <c r="D170" s="60" t="s">
        <v>374</v>
      </c>
      <c r="E170" s="60"/>
      <c r="F170" s="58"/>
      <c r="G170" s="58"/>
      <c r="H170" s="58"/>
      <c r="I170" s="58"/>
      <c r="J170" s="58"/>
      <c r="K170" s="58"/>
      <c r="L170" s="58"/>
      <c r="M170" s="58"/>
      <c r="N170" s="58"/>
      <c r="O170" s="60"/>
      <c r="P170" s="58"/>
      <c r="Q170" s="58"/>
      <c r="R170" s="59"/>
      <c r="T170" s="182"/>
      <c r="U170" s="182"/>
    </row>
    <row r="171" spans="3:21" ht="9.75" customHeight="1" x14ac:dyDescent="0.4">
      <c r="C171" s="27"/>
      <c r="D171" s="60" t="s">
        <v>374</v>
      </c>
      <c r="E171" s="60"/>
      <c r="F171" s="58"/>
      <c r="G171" s="58"/>
      <c r="H171" s="58"/>
      <c r="I171" s="58"/>
      <c r="J171" s="58"/>
      <c r="K171" s="58"/>
      <c r="L171" s="58"/>
      <c r="M171" s="58"/>
      <c r="N171" s="58"/>
      <c r="O171" s="60"/>
      <c r="P171" s="58"/>
      <c r="Q171" s="58"/>
      <c r="R171" s="59"/>
      <c r="T171" s="182"/>
      <c r="U171" s="182"/>
    </row>
    <row r="172" spans="3:21" ht="9.75" customHeight="1" x14ac:dyDescent="0.4">
      <c r="C172" s="27"/>
      <c r="D172" s="60" t="s">
        <v>374</v>
      </c>
      <c r="E172" s="60"/>
      <c r="F172" s="58"/>
      <c r="G172" s="58"/>
      <c r="H172" s="58"/>
      <c r="I172" s="58"/>
      <c r="J172" s="58"/>
      <c r="K172" s="58"/>
      <c r="L172" s="58"/>
      <c r="M172" s="58"/>
      <c r="N172" s="58"/>
      <c r="O172" s="60"/>
      <c r="P172" s="58"/>
      <c r="Q172" s="58"/>
      <c r="R172" s="59"/>
      <c r="T172" s="182"/>
      <c r="U172" s="182"/>
    </row>
    <row r="173" spans="3:21" ht="9.75" customHeight="1" x14ac:dyDescent="0.4">
      <c r="C173" s="27"/>
      <c r="D173" s="60" t="s">
        <v>310</v>
      </c>
      <c r="E173" s="123">
        <v>3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3</v>
      </c>
      <c r="O173" s="123">
        <v>3</v>
      </c>
      <c r="P173" s="74">
        <f>MIN(F173:O173)</f>
        <v>0</v>
      </c>
      <c r="Q173" s="74">
        <f>E173-P173</f>
        <v>3</v>
      </c>
      <c r="R173" s="75">
        <f>Q173/E173</f>
        <v>1</v>
      </c>
      <c r="T173" s="182"/>
      <c r="U173" s="182"/>
    </row>
    <row r="174" spans="3:21" ht="9.75" customHeight="1" x14ac:dyDescent="0.4">
      <c r="C174" s="27"/>
      <c r="D174" s="60" t="s">
        <v>311</v>
      </c>
      <c r="E174" s="60"/>
      <c r="F174" s="58"/>
      <c r="G174" s="58"/>
      <c r="H174" s="58"/>
      <c r="I174" s="58"/>
      <c r="J174" s="58"/>
      <c r="K174" s="58"/>
      <c r="L174" s="58"/>
      <c r="M174" s="58"/>
      <c r="N174" s="58"/>
      <c r="O174" s="60"/>
      <c r="P174" s="58"/>
      <c r="Q174" s="58"/>
      <c r="R174" s="59"/>
      <c r="T174" s="182"/>
      <c r="U174" s="182"/>
    </row>
    <row r="175" spans="3:21" ht="9.75" customHeight="1" x14ac:dyDescent="0.4">
      <c r="C175" s="27"/>
      <c r="D175" s="60" t="s">
        <v>312</v>
      </c>
      <c r="E175" s="60"/>
      <c r="F175" s="58"/>
      <c r="G175" s="58"/>
      <c r="H175" s="58"/>
      <c r="I175" s="58"/>
      <c r="J175" s="58"/>
      <c r="K175" s="58"/>
      <c r="L175" s="58"/>
      <c r="M175" s="58"/>
      <c r="N175" s="58"/>
      <c r="O175" s="60"/>
      <c r="P175" s="58"/>
      <c r="Q175" s="58"/>
      <c r="R175" s="59"/>
      <c r="T175" s="182"/>
      <c r="U175" s="182"/>
    </row>
    <row r="176" spans="3:21" ht="9.75" customHeight="1" x14ac:dyDescent="0.4">
      <c r="C176" s="27"/>
      <c r="D176" s="64" t="s">
        <v>313</v>
      </c>
      <c r="E176" s="64"/>
      <c r="F176" s="63"/>
      <c r="G176" s="63"/>
      <c r="H176" s="63"/>
      <c r="I176" s="63"/>
      <c r="J176" s="63"/>
      <c r="K176" s="63"/>
      <c r="L176" s="63"/>
      <c r="M176" s="63"/>
      <c r="N176" s="63"/>
      <c r="O176" s="64"/>
      <c r="P176" s="63"/>
      <c r="Q176" s="63"/>
      <c r="R176" s="407"/>
      <c r="T176" s="182"/>
      <c r="U176" s="182"/>
    </row>
    <row r="177" spans="2:21" ht="9.75" customHeight="1" x14ac:dyDescent="0.4">
      <c r="B177" s="219" t="s">
        <v>395</v>
      </c>
      <c r="C177" s="125"/>
      <c r="D177" s="69" t="s">
        <v>314</v>
      </c>
      <c r="E177" s="408">
        <f t="shared" ref="E177:O177" si="18">SUM(E161:E176)</f>
        <v>47</v>
      </c>
      <c r="F177" s="409">
        <f t="shared" si="18"/>
        <v>1</v>
      </c>
      <c r="G177" s="409">
        <f t="shared" si="18"/>
        <v>0</v>
      </c>
      <c r="H177" s="409">
        <f t="shared" si="18"/>
        <v>0</v>
      </c>
      <c r="I177" s="409">
        <f t="shared" si="18"/>
        <v>0</v>
      </c>
      <c r="J177" s="409">
        <f t="shared" si="18"/>
        <v>0</v>
      </c>
      <c r="K177" s="409">
        <f t="shared" si="18"/>
        <v>0</v>
      </c>
      <c r="L177" s="409">
        <f t="shared" si="18"/>
        <v>1</v>
      </c>
      <c r="M177" s="409">
        <f t="shared" si="18"/>
        <v>0</v>
      </c>
      <c r="N177" s="409">
        <f t="shared" si="18"/>
        <v>4</v>
      </c>
      <c r="O177" s="408">
        <f t="shared" si="18"/>
        <v>13</v>
      </c>
      <c r="P177" s="409">
        <f t="shared" ref="P177:P178" si="19">MIN(F177:O177)</f>
        <v>0</v>
      </c>
      <c r="Q177" s="409">
        <f t="shared" ref="Q177:Q178" si="20">E177-P177</f>
        <v>47</v>
      </c>
      <c r="R177" s="410">
        <f t="shared" ref="R177:R178" si="21">Q177/E177</f>
        <v>1</v>
      </c>
      <c r="T177" s="182"/>
      <c r="U177" s="182"/>
    </row>
    <row r="178" spans="2:21" ht="9.75" customHeight="1" x14ac:dyDescent="0.4">
      <c r="C178" s="27" t="s">
        <v>208</v>
      </c>
      <c r="D178" s="60" t="s">
        <v>300</v>
      </c>
      <c r="E178" s="123">
        <v>47</v>
      </c>
      <c r="F178" s="74">
        <v>13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1</v>
      </c>
      <c r="M178" s="74">
        <v>2</v>
      </c>
      <c r="N178" s="74">
        <v>5</v>
      </c>
      <c r="O178" s="123">
        <v>13</v>
      </c>
      <c r="P178" s="74">
        <f t="shared" si="19"/>
        <v>0</v>
      </c>
      <c r="Q178" s="74">
        <f t="shared" si="20"/>
        <v>47</v>
      </c>
      <c r="R178" s="75">
        <f t="shared" si="21"/>
        <v>1</v>
      </c>
      <c r="T178" s="182"/>
      <c r="U178" s="182"/>
    </row>
    <row r="179" spans="2:21" ht="9.75" customHeight="1" x14ac:dyDescent="0.4">
      <c r="C179" s="17"/>
      <c r="D179" s="60" t="s">
        <v>301</v>
      </c>
      <c r="E179" s="60"/>
      <c r="F179" s="58"/>
      <c r="G179" s="58"/>
      <c r="H179" s="58"/>
      <c r="I179" s="58"/>
      <c r="J179" s="58"/>
      <c r="K179" s="58"/>
      <c r="L179" s="58"/>
      <c r="M179" s="58"/>
      <c r="N179" s="58"/>
      <c r="O179" s="60"/>
      <c r="P179" s="58"/>
      <c r="Q179" s="58"/>
      <c r="R179" s="59"/>
      <c r="T179" s="182"/>
      <c r="U179" s="182"/>
    </row>
    <row r="180" spans="2:21" ht="9.75" customHeight="1" x14ac:dyDescent="0.4">
      <c r="C180" s="17"/>
      <c r="D180" s="60" t="s">
        <v>303</v>
      </c>
      <c r="E180" s="60"/>
      <c r="F180" s="58"/>
      <c r="G180" s="58"/>
      <c r="H180" s="58"/>
      <c r="I180" s="58"/>
      <c r="J180" s="58"/>
      <c r="K180" s="58"/>
      <c r="L180" s="58"/>
      <c r="M180" s="58"/>
      <c r="N180" s="58"/>
      <c r="O180" s="60"/>
      <c r="P180" s="58"/>
      <c r="Q180" s="58"/>
      <c r="R180" s="59"/>
      <c r="T180" s="182"/>
      <c r="U180" s="182"/>
    </row>
    <row r="181" spans="2:21" ht="9.75" customHeight="1" x14ac:dyDescent="0.4">
      <c r="C181" s="17"/>
      <c r="D181" s="60" t="s">
        <v>369</v>
      </c>
      <c r="E181" s="60"/>
      <c r="F181" s="58"/>
      <c r="G181" s="58"/>
      <c r="H181" s="58"/>
      <c r="I181" s="58"/>
      <c r="J181" s="58"/>
      <c r="K181" s="58"/>
      <c r="L181" s="58"/>
      <c r="M181" s="58"/>
      <c r="N181" s="58"/>
      <c r="O181" s="60"/>
      <c r="P181" s="58"/>
      <c r="Q181" s="58"/>
      <c r="R181" s="59"/>
      <c r="T181" s="182"/>
      <c r="U181" s="182"/>
    </row>
    <row r="182" spans="2:21" ht="9.75" customHeight="1" x14ac:dyDescent="0.4">
      <c r="C182" s="27"/>
      <c r="D182" s="60" t="s">
        <v>369</v>
      </c>
      <c r="E182" s="60"/>
      <c r="F182" s="58"/>
      <c r="G182" s="58"/>
      <c r="H182" s="58"/>
      <c r="I182" s="58"/>
      <c r="J182" s="58"/>
      <c r="K182" s="58"/>
      <c r="L182" s="58"/>
      <c r="M182" s="58"/>
      <c r="N182" s="58"/>
      <c r="O182" s="60"/>
      <c r="P182" s="58"/>
      <c r="Q182" s="58"/>
      <c r="R182" s="59"/>
      <c r="T182" s="182"/>
      <c r="U182" s="182"/>
    </row>
    <row r="183" spans="2:21" ht="9.75" customHeight="1" x14ac:dyDescent="0.4">
      <c r="C183" s="27"/>
      <c r="D183" s="60" t="s">
        <v>308</v>
      </c>
      <c r="E183" s="60"/>
      <c r="F183" s="58"/>
      <c r="G183" s="58"/>
      <c r="H183" s="58"/>
      <c r="I183" s="58"/>
      <c r="J183" s="58"/>
      <c r="K183" s="58"/>
      <c r="L183" s="58"/>
      <c r="M183" s="58"/>
      <c r="N183" s="58"/>
      <c r="O183" s="60"/>
      <c r="P183" s="58"/>
      <c r="Q183" s="58"/>
      <c r="R183" s="59"/>
      <c r="T183" s="182"/>
      <c r="U183" s="182"/>
    </row>
    <row r="184" spans="2:21" ht="9.75" customHeight="1" x14ac:dyDescent="0.4">
      <c r="C184" s="27"/>
      <c r="D184" s="60" t="s">
        <v>374</v>
      </c>
      <c r="E184" s="60"/>
      <c r="F184" s="58"/>
      <c r="G184" s="58"/>
      <c r="H184" s="58"/>
      <c r="I184" s="58"/>
      <c r="J184" s="58"/>
      <c r="K184" s="58"/>
      <c r="L184" s="58"/>
      <c r="M184" s="58"/>
      <c r="N184" s="58"/>
      <c r="O184" s="60"/>
      <c r="P184" s="58"/>
      <c r="Q184" s="58"/>
      <c r="R184" s="59"/>
      <c r="T184" s="182"/>
      <c r="U184" s="182"/>
    </row>
    <row r="185" spans="2:21" ht="9.75" customHeight="1" x14ac:dyDescent="0.4">
      <c r="C185" s="27"/>
      <c r="D185" s="60" t="s">
        <v>374</v>
      </c>
      <c r="E185" s="60"/>
      <c r="F185" s="58"/>
      <c r="G185" s="58"/>
      <c r="H185" s="58"/>
      <c r="I185" s="58"/>
      <c r="J185" s="58"/>
      <c r="K185" s="58"/>
      <c r="L185" s="58"/>
      <c r="M185" s="58"/>
      <c r="N185" s="58"/>
      <c r="O185" s="60"/>
      <c r="P185" s="58"/>
      <c r="Q185" s="58"/>
      <c r="R185" s="59"/>
      <c r="T185" s="182"/>
      <c r="U185" s="182"/>
    </row>
    <row r="186" spans="2:21" ht="9.75" customHeight="1" x14ac:dyDescent="0.4">
      <c r="C186" s="27"/>
      <c r="D186" s="60" t="s">
        <v>374</v>
      </c>
      <c r="E186" s="60"/>
      <c r="F186" s="58"/>
      <c r="G186" s="58"/>
      <c r="H186" s="58"/>
      <c r="I186" s="58"/>
      <c r="J186" s="58"/>
      <c r="K186" s="58"/>
      <c r="L186" s="58"/>
      <c r="M186" s="58"/>
      <c r="N186" s="58"/>
      <c r="O186" s="60"/>
      <c r="P186" s="58"/>
      <c r="Q186" s="58"/>
      <c r="R186" s="59"/>
      <c r="T186" s="182"/>
      <c r="U186" s="182"/>
    </row>
    <row r="187" spans="2:21" ht="9.75" customHeight="1" x14ac:dyDescent="0.4">
      <c r="C187" s="27"/>
      <c r="D187" s="60" t="s">
        <v>374</v>
      </c>
      <c r="E187" s="60"/>
      <c r="F187" s="58"/>
      <c r="G187" s="58"/>
      <c r="H187" s="58"/>
      <c r="I187" s="58"/>
      <c r="J187" s="58"/>
      <c r="K187" s="58"/>
      <c r="L187" s="58"/>
      <c r="M187" s="58"/>
      <c r="N187" s="58"/>
      <c r="O187" s="60"/>
      <c r="P187" s="58"/>
      <c r="Q187" s="58"/>
      <c r="R187" s="59"/>
      <c r="T187" s="182"/>
      <c r="U187" s="182"/>
    </row>
    <row r="188" spans="2:21" ht="9.75" customHeight="1" x14ac:dyDescent="0.4">
      <c r="C188" s="27"/>
      <c r="D188" s="60" t="s">
        <v>374</v>
      </c>
      <c r="E188" s="60"/>
      <c r="F188" s="58"/>
      <c r="G188" s="58"/>
      <c r="H188" s="58"/>
      <c r="I188" s="58"/>
      <c r="J188" s="58"/>
      <c r="K188" s="58"/>
      <c r="L188" s="58"/>
      <c r="M188" s="58"/>
      <c r="N188" s="58"/>
      <c r="O188" s="60"/>
      <c r="P188" s="58"/>
      <c r="Q188" s="58"/>
      <c r="R188" s="59"/>
      <c r="T188" s="182"/>
      <c r="U188" s="182"/>
    </row>
    <row r="189" spans="2:21" ht="9.75" customHeight="1" x14ac:dyDescent="0.4">
      <c r="C189" s="27"/>
      <c r="D189" s="60" t="s">
        <v>374</v>
      </c>
      <c r="E189" s="60"/>
      <c r="F189" s="58"/>
      <c r="G189" s="58"/>
      <c r="H189" s="58"/>
      <c r="I189" s="58"/>
      <c r="J189" s="58"/>
      <c r="K189" s="58"/>
      <c r="L189" s="58"/>
      <c r="M189" s="58"/>
      <c r="N189" s="58"/>
      <c r="O189" s="60"/>
      <c r="P189" s="58"/>
      <c r="Q189" s="58"/>
      <c r="R189" s="59"/>
      <c r="T189" s="182"/>
      <c r="U189" s="182"/>
    </row>
    <row r="190" spans="2:21" ht="9.75" customHeight="1" x14ac:dyDescent="0.4">
      <c r="C190" s="27"/>
      <c r="D190" s="60" t="s">
        <v>310</v>
      </c>
      <c r="E190" s="60"/>
      <c r="F190" s="58"/>
      <c r="G190" s="58"/>
      <c r="H190" s="58"/>
      <c r="I190" s="58"/>
      <c r="J190" s="58"/>
      <c r="K190" s="58"/>
      <c r="L190" s="58"/>
      <c r="M190" s="58"/>
      <c r="N190" s="58"/>
      <c r="O190" s="60"/>
      <c r="P190" s="58"/>
      <c r="Q190" s="58"/>
      <c r="R190" s="59"/>
      <c r="T190" s="182"/>
      <c r="U190" s="182"/>
    </row>
    <row r="191" spans="2:21" ht="9.75" customHeight="1" x14ac:dyDescent="0.4">
      <c r="C191" s="27"/>
      <c r="D191" s="60" t="s">
        <v>311</v>
      </c>
      <c r="E191" s="60"/>
      <c r="F191" s="58"/>
      <c r="G191" s="58"/>
      <c r="H191" s="58"/>
      <c r="I191" s="58"/>
      <c r="J191" s="58"/>
      <c r="K191" s="58"/>
      <c r="L191" s="58"/>
      <c r="M191" s="58"/>
      <c r="N191" s="58"/>
      <c r="O191" s="60"/>
      <c r="P191" s="58"/>
      <c r="Q191" s="58"/>
      <c r="R191" s="59"/>
      <c r="T191" s="182"/>
      <c r="U191" s="182"/>
    </row>
    <row r="192" spans="2:21" ht="9.75" customHeight="1" x14ac:dyDescent="0.4">
      <c r="C192" s="27"/>
      <c r="D192" s="60" t="s">
        <v>312</v>
      </c>
      <c r="E192" s="60"/>
      <c r="F192" s="58"/>
      <c r="G192" s="58"/>
      <c r="H192" s="58"/>
      <c r="I192" s="58"/>
      <c r="J192" s="58"/>
      <c r="K192" s="58"/>
      <c r="L192" s="58"/>
      <c r="M192" s="58"/>
      <c r="N192" s="58"/>
      <c r="O192" s="60"/>
      <c r="P192" s="58"/>
      <c r="Q192" s="58"/>
      <c r="R192" s="59"/>
      <c r="T192" s="182"/>
      <c r="U192" s="182"/>
    </row>
    <row r="193" spans="2:21" ht="9.75" customHeight="1" x14ac:dyDescent="0.4">
      <c r="C193" s="27"/>
      <c r="D193" s="64" t="s">
        <v>313</v>
      </c>
      <c r="E193" s="64"/>
      <c r="F193" s="63"/>
      <c r="G193" s="63"/>
      <c r="H193" s="63"/>
      <c r="I193" s="63"/>
      <c r="J193" s="63"/>
      <c r="K193" s="63"/>
      <c r="L193" s="63"/>
      <c r="M193" s="63"/>
      <c r="N193" s="63"/>
      <c r="O193" s="64"/>
      <c r="P193" s="63"/>
      <c r="Q193" s="63"/>
      <c r="R193" s="407"/>
      <c r="T193" s="182"/>
      <c r="U193" s="182"/>
    </row>
    <row r="194" spans="2:21" ht="9.75" customHeight="1" x14ac:dyDescent="0.4">
      <c r="B194" s="219" t="s">
        <v>395</v>
      </c>
      <c r="C194" s="125"/>
      <c r="D194" s="69" t="s">
        <v>314</v>
      </c>
      <c r="E194" s="408">
        <f t="shared" ref="E194:O194" si="22">SUM(E178:E193)</f>
        <v>47</v>
      </c>
      <c r="F194" s="409">
        <f t="shared" si="22"/>
        <v>13</v>
      </c>
      <c r="G194" s="409">
        <f t="shared" si="22"/>
        <v>0</v>
      </c>
      <c r="H194" s="409">
        <f t="shared" si="22"/>
        <v>0</v>
      </c>
      <c r="I194" s="409">
        <f t="shared" si="22"/>
        <v>0</v>
      </c>
      <c r="J194" s="409">
        <f t="shared" si="22"/>
        <v>0</v>
      </c>
      <c r="K194" s="409">
        <f t="shared" si="22"/>
        <v>0</v>
      </c>
      <c r="L194" s="409">
        <f t="shared" si="22"/>
        <v>1</v>
      </c>
      <c r="M194" s="409">
        <f t="shared" si="22"/>
        <v>2</v>
      </c>
      <c r="N194" s="409">
        <f t="shared" si="22"/>
        <v>5</v>
      </c>
      <c r="O194" s="408">
        <f t="shared" si="22"/>
        <v>13</v>
      </c>
      <c r="P194" s="409">
        <f t="shared" ref="P194:P195" si="23">MIN(F194:O194)</f>
        <v>0</v>
      </c>
      <c r="Q194" s="409">
        <f t="shared" ref="Q194:Q195" si="24">E194-P194</f>
        <v>47</v>
      </c>
      <c r="R194" s="410">
        <f t="shared" ref="R194:R195" si="25">Q194/E194</f>
        <v>1</v>
      </c>
      <c r="T194" s="182"/>
      <c r="U194" s="182"/>
    </row>
    <row r="195" spans="2:21" ht="9.75" customHeight="1" x14ac:dyDescent="0.4">
      <c r="C195" s="27" t="s">
        <v>213</v>
      </c>
      <c r="D195" s="60" t="s">
        <v>300</v>
      </c>
      <c r="E195" s="123">
        <v>45</v>
      </c>
      <c r="F195" s="74">
        <v>24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4</v>
      </c>
      <c r="M195" s="74">
        <v>5</v>
      </c>
      <c r="N195" s="74">
        <v>6</v>
      </c>
      <c r="O195" s="123">
        <v>18</v>
      </c>
      <c r="P195" s="74">
        <f t="shared" si="23"/>
        <v>0</v>
      </c>
      <c r="Q195" s="74">
        <f t="shared" si="24"/>
        <v>45</v>
      </c>
      <c r="R195" s="75">
        <f t="shared" si="25"/>
        <v>1</v>
      </c>
      <c r="T195" s="182"/>
      <c r="U195" s="182"/>
    </row>
    <row r="196" spans="2:21" ht="9.75" customHeight="1" x14ac:dyDescent="0.4">
      <c r="C196" s="17"/>
      <c r="D196" s="60" t="s">
        <v>301</v>
      </c>
      <c r="E196" s="60"/>
      <c r="F196" s="58"/>
      <c r="G196" s="58"/>
      <c r="H196" s="58"/>
      <c r="I196" s="58"/>
      <c r="J196" s="58"/>
      <c r="K196" s="58"/>
      <c r="L196" s="58"/>
      <c r="M196" s="58"/>
      <c r="N196" s="58"/>
      <c r="O196" s="60"/>
      <c r="P196" s="58"/>
      <c r="Q196" s="58"/>
      <c r="R196" s="59"/>
      <c r="T196" s="182"/>
      <c r="U196" s="182"/>
    </row>
    <row r="197" spans="2:21" ht="9.75" customHeight="1" x14ac:dyDescent="0.4">
      <c r="C197" s="17"/>
      <c r="D197" s="60" t="s">
        <v>303</v>
      </c>
      <c r="E197" s="60"/>
      <c r="F197" s="58"/>
      <c r="G197" s="58"/>
      <c r="H197" s="58"/>
      <c r="I197" s="58"/>
      <c r="J197" s="58"/>
      <c r="K197" s="58"/>
      <c r="L197" s="58"/>
      <c r="M197" s="58"/>
      <c r="N197" s="58"/>
      <c r="O197" s="60"/>
      <c r="P197" s="58"/>
      <c r="Q197" s="58"/>
      <c r="R197" s="59"/>
      <c r="T197" s="182"/>
      <c r="U197" s="182"/>
    </row>
    <row r="198" spans="2:21" ht="9.75" customHeight="1" x14ac:dyDescent="0.4">
      <c r="C198" s="17"/>
      <c r="D198" s="60" t="s">
        <v>369</v>
      </c>
      <c r="E198" s="60"/>
      <c r="F198" s="58"/>
      <c r="G198" s="58"/>
      <c r="H198" s="58"/>
      <c r="I198" s="58"/>
      <c r="J198" s="58"/>
      <c r="K198" s="58"/>
      <c r="L198" s="58"/>
      <c r="M198" s="58"/>
      <c r="N198" s="58"/>
      <c r="O198" s="60"/>
      <c r="P198" s="58"/>
      <c r="Q198" s="58"/>
      <c r="R198" s="59"/>
      <c r="T198" s="182"/>
      <c r="U198" s="182"/>
    </row>
    <row r="199" spans="2:21" ht="9.75" customHeight="1" x14ac:dyDescent="0.4">
      <c r="C199" s="27"/>
      <c r="D199" s="60" t="s">
        <v>369</v>
      </c>
      <c r="E199" s="60"/>
      <c r="F199" s="58"/>
      <c r="G199" s="58"/>
      <c r="H199" s="58"/>
      <c r="I199" s="58"/>
      <c r="J199" s="58"/>
      <c r="K199" s="58"/>
      <c r="L199" s="58"/>
      <c r="M199" s="58"/>
      <c r="N199" s="58"/>
      <c r="O199" s="60"/>
      <c r="P199" s="58"/>
      <c r="Q199" s="58"/>
      <c r="R199" s="59"/>
      <c r="T199" s="182"/>
      <c r="U199" s="182"/>
    </row>
    <row r="200" spans="2:21" ht="9.75" customHeight="1" x14ac:dyDescent="0.4">
      <c r="C200" s="27"/>
      <c r="D200" s="60" t="s">
        <v>308</v>
      </c>
      <c r="E200" s="60"/>
      <c r="F200" s="58"/>
      <c r="G200" s="58"/>
      <c r="H200" s="58"/>
      <c r="I200" s="58"/>
      <c r="J200" s="58"/>
      <c r="K200" s="58"/>
      <c r="L200" s="58"/>
      <c r="M200" s="58"/>
      <c r="N200" s="58"/>
      <c r="O200" s="60"/>
      <c r="P200" s="58"/>
      <c r="Q200" s="58"/>
      <c r="R200" s="59"/>
      <c r="T200" s="182"/>
      <c r="U200" s="182"/>
    </row>
    <row r="201" spans="2:21" ht="9.75" customHeight="1" x14ac:dyDescent="0.4">
      <c r="C201" s="27"/>
      <c r="D201" s="60" t="s">
        <v>374</v>
      </c>
      <c r="E201" s="60"/>
      <c r="F201" s="58"/>
      <c r="G201" s="58"/>
      <c r="H201" s="58"/>
      <c r="I201" s="58"/>
      <c r="J201" s="58"/>
      <c r="K201" s="58"/>
      <c r="L201" s="58"/>
      <c r="M201" s="58"/>
      <c r="N201" s="58"/>
      <c r="O201" s="60"/>
      <c r="P201" s="58"/>
      <c r="Q201" s="58"/>
      <c r="R201" s="59"/>
      <c r="T201" s="182"/>
      <c r="U201" s="182"/>
    </row>
    <row r="202" spans="2:21" ht="9.75" customHeight="1" x14ac:dyDescent="0.4">
      <c r="C202" s="27"/>
      <c r="D202" s="60" t="s">
        <v>374</v>
      </c>
      <c r="E202" s="60"/>
      <c r="F202" s="58"/>
      <c r="G202" s="58"/>
      <c r="H202" s="58"/>
      <c r="I202" s="58"/>
      <c r="J202" s="58"/>
      <c r="K202" s="58"/>
      <c r="L202" s="58"/>
      <c r="M202" s="58"/>
      <c r="N202" s="58"/>
      <c r="O202" s="60"/>
      <c r="P202" s="58"/>
      <c r="Q202" s="58"/>
      <c r="R202" s="59"/>
      <c r="T202" s="182"/>
      <c r="U202" s="182"/>
    </row>
    <row r="203" spans="2:21" ht="9.75" customHeight="1" x14ac:dyDescent="0.4">
      <c r="C203" s="27"/>
      <c r="D203" s="60" t="s">
        <v>374</v>
      </c>
      <c r="E203" s="60"/>
      <c r="F203" s="58"/>
      <c r="G203" s="58"/>
      <c r="H203" s="58"/>
      <c r="I203" s="58"/>
      <c r="J203" s="58"/>
      <c r="K203" s="58"/>
      <c r="L203" s="58"/>
      <c r="M203" s="58"/>
      <c r="N203" s="58"/>
      <c r="O203" s="60"/>
      <c r="P203" s="58"/>
      <c r="Q203" s="58"/>
      <c r="R203" s="59"/>
      <c r="T203" s="182"/>
      <c r="U203" s="182"/>
    </row>
    <row r="204" spans="2:21" ht="9.75" customHeight="1" x14ac:dyDescent="0.4">
      <c r="C204" s="27"/>
      <c r="D204" s="60" t="s">
        <v>374</v>
      </c>
      <c r="E204" s="60"/>
      <c r="F204" s="58"/>
      <c r="G204" s="58"/>
      <c r="H204" s="58"/>
      <c r="I204" s="58"/>
      <c r="J204" s="58"/>
      <c r="K204" s="58"/>
      <c r="L204" s="58"/>
      <c r="M204" s="58"/>
      <c r="N204" s="58"/>
      <c r="O204" s="60"/>
      <c r="P204" s="58"/>
      <c r="Q204" s="58"/>
      <c r="R204" s="59"/>
      <c r="T204" s="182"/>
      <c r="U204" s="182"/>
    </row>
    <row r="205" spans="2:21" ht="9.75" customHeight="1" x14ac:dyDescent="0.4">
      <c r="C205" s="27"/>
      <c r="D205" s="60" t="s">
        <v>374</v>
      </c>
      <c r="E205" s="60"/>
      <c r="F205" s="58"/>
      <c r="G205" s="58"/>
      <c r="H205" s="58"/>
      <c r="I205" s="58"/>
      <c r="J205" s="58"/>
      <c r="K205" s="58"/>
      <c r="L205" s="58"/>
      <c r="M205" s="58"/>
      <c r="N205" s="58"/>
      <c r="O205" s="60"/>
      <c r="P205" s="58"/>
      <c r="Q205" s="58"/>
      <c r="R205" s="59"/>
      <c r="T205" s="182"/>
      <c r="U205" s="182"/>
    </row>
    <row r="206" spans="2:21" ht="9.75" customHeight="1" x14ac:dyDescent="0.4">
      <c r="C206" s="27"/>
      <c r="D206" s="60" t="s">
        <v>374</v>
      </c>
      <c r="E206" s="60"/>
      <c r="F206" s="58"/>
      <c r="G206" s="58"/>
      <c r="H206" s="58"/>
      <c r="I206" s="58"/>
      <c r="J206" s="58"/>
      <c r="K206" s="58"/>
      <c r="L206" s="58"/>
      <c r="M206" s="58"/>
      <c r="N206" s="58"/>
      <c r="O206" s="60"/>
      <c r="P206" s="58"/>
      <c r="Q206" s="58"/>
      <c r="R206" s="59"/>
      <c r="T206" s="182"/>
      <c r="U206" s="182"/>
    </row>
    <row r="207" spans="2:21" ht="9.75" customHeight="1" x14ac:dyDescent="0.4">
      <c r="C207" s="27"/>
      <c r="D207" s="60" t="s">
        <v>310</v>
      </c>
      <c r="E207" s="123">
        <v>1</v>
      </c>
      <c r="F207" s="74">
        <v>0</v>
      </c>
      <c r="G207" s="74">
        <v>0</v>
      </c>
      <c r="H207" s="74">
        <v>0</v>
      </c>
      <c r="I207" s="74">
        <v>1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123">
        <v>0</v>
      </c>
      <c r="P207" s="74">
        <f>MIN(F207:O207)</f>
        <v>0</v>
      </c>
      <c r="Q207" s="74">
        <f>E207-P207</f>
        <v>1</v>
      </c>
      <c r="R207" s="75">
        <f>Q207/E207</f>
        <v>1</v>
      </c>
      <c r="T207" s="182"/>
      <c r="U207" s="182"/>
    </row>
    <row r="208" spans="2:21" ht="9.75" customHeight="1" x14ac:dyDescent="0.4">
      <c r="C208" s="27"/>
      <c r="D208" s="60" t="s">
        <v>311</v>
      </c>
      <c r="E208" s="60"/>
      <c r="F208" s="58"/>
      <c r="G208" s="58"/>
      <c r="H208" s="58"/>
      <c r="I208" s="58"/>
      <c r="J208" s="58"/>
      <c r="K208" s="58"/>
      <c r="L208" s="58"/>
      <c r="M208" s="58"/>
      <c r="N208" s="58"/>
      <c r="O208" s="60"/>
      <c r="P208" s="58"/>
      <c r="Q208" s="58"/>
      <c r="R208" s="59"/>
      <c r="T208" s="182"/>
      <c r="U208" s="182"/>
    </row>
    <row r="209" spans="2:21" ht="9.75" customHeight="1" x14ac:dyDescent="0.4">
      <c r="C209" s="27"/>
      <c r="D209" s="60" t="s">
        <v>312</v>
      </c>
      <c r="E209" s="60"/>
      <c r="F209" s="58"/>
      <c r="G209" s="58"/>
      <c r="H209" s="58"/>
      <c r="I209" s="58"/>
      <c r="J209" s="58"/>
      <c r="K209" s="58"/>
      <c r="L209" s="58"/>
      <c r="M209" s="58"/>
      <c r="N209" s="58"/>
      <c r="O209" s="60"/>
      <c r="P209" s="58"/>
      <c r="Q209" s="58"/>
      <c r="R209" s="59"/>
      <c r="T209" s="182"/>
      <c r="U209" s="182"/>
    </row>
    <row r="210" spans="2:21" ht="9.75" customHeight="1" x14ac:dyDescent="0.4">
      <c r="C210" s="27"/>
      <c r="D210" s="64" t="s">
        <v>313</v>
      </c>
      <c r="E210" s="64"/>
      <c r="F210" s="63"/>
      <c r="G210" s="63"/>
      <c r="H210" s="63"/>
      <c r="I210" s="63"/>
      <c r="J210" s="63"/>
      <c r="K210" s="63"/>
      <c r="L210" s="63"/>
      <c r="M210" s="63"/>
      <c r="N210" s="63"/>
      <c r="O210" s="64"/>
      <c r="P210" s="63"/>
      <c r="Q210" s="63"/>
      <c r="R210" s="407"/>
      <c r="T210" s="182"/>
      <c r="U210" s="182"/>
    </row>
    <row r="211" spans="2:21" ht="9.75" customHeight="1" x14ac:dyDescent="0.4">
      <c r="B211" s="219" t="s">
        <v>395</v>
      </c>
      <c r="C211" s="125"/>
      <c r="D211" s="69" t="s">
        <v>314</v>
      </c>
      <c r="E211" s="408">
        <f t="shared" ref="E211:O211" si="26">SUM(E195:E210)</f>
        <v>46</v>
      </c>
      <c r="F211" s="409">
        <f t="shared" si="26"/>
        <v>24</v>
      </c>
      <c r="G211" s="409">
        <f t="shared" si="26"/>
        <v>0</v>
      </c>
      <c r="H211" s="409">
        <f t="shared" si="26"/>
        <v>0</v>
      </c>
      <c r="I211" s="409">
        <f t="shared" si="26"/>
        <v>1</v>
      </c>
      <c r="J211" s="409">
        <f t="shared" si="26"/>
        <v>0</v>
      </c>
      <c r="K211" s="409">
        <f t="shared" si="26"/>
        <v>0</v>
      </c>
      <c r="L211" s="409">
        <f t="shared" si="26"/>
        <v>4</v>
      </c>
      <c r="M211" s="409">
        <f t="shared" si="26"/>
        <v>5</v>
      </c>
      <c r="N211" s="409">
        <f t="shared" si="26"/>
        <v>6</v>
      </c>
      <c r="O211" s="408">
        <f t="shared" si="26"/>
        <v>18</v>
      </c>
      <c r="P211" s="409">
        <f t="shared" ref="P211:P212" si="27">MIN(F211:O211)</f>
        <v>0</v>
      </c>
      <c r="Q211" s="409">
        <f t="shared" ref="Q211:Q212" si="28">E211-P211</f>
        <v>46</v>
      </c>
      <c r="R211" s="410">
        <f t="shared" ref="R211:R212" si="29">Q211/E211</f>
        <v>1</v>
      </c>
      <c r="T211" s="182"/>
      <c r="U211" s="182"/>
    </row>
    <row r="212" spans="2:21" ht="9.75" customHeight="1" x14ac:dyDescent="0.4">
      <c r="C212" s="27" t="s">
        <v>218</v>
      </c>
      <c r="D212" s="60" t="s">
        <v>300</v>
      </c>
      <c r="E212" s="123">
        <v>47</v>
      </c>
      <c r="F212" s="74">
        <v>42</v>
      </c>
      <c r="G212" s="74">
        <v>35</v>
      </c>
      <c r="H212" s="74">
        <v>28</v>
      </c>
      <c r="I212" s="74">
        <v>25</v>
      </c>
      <c r="J212" s="74">
        <v>23</v>
      </c>
      <c r="K212" s="74">
        <v>10</v>
      </c>
      <c r="L212" s="74">
        <v>10</v>
      </c>
      <c r="M212" s="74">
        <v>16</v>
      </c>
      <c r="N212" s="74">
        <v>22</v>
      </c>
      <c r="O212" s="123">
        <v>32</v>
      </c>
      <c r="P212" s="74">
        <f t="shared" si="27"/>
        <v>10</v>
      </c>
      <c r="Q212" s="74">
        <f t="shared" si="28"/>
        <v>37</v>
      </c>
      <c r="R212" s="75">
        <f t="shared" si="29"/>
        <v>0.78723404255319152</v>
      </c>
      <c r="T212" s="182"/>
      <c r="U212" s="182"/>
    </row>
    <row r="213" spans="2:21" ht="9.75" customHeight="1" x14ac:dyDescent="0.4">
      <c r="C213" s="17"/>
      <c r="D213" s="60" t="s">
        <v>301</v>
      </c>
      <c r="E213" s="60"/>
      <c r="F213" s="58"/>
      <c r="G213" s="58"/>
      <c r="H213" s="58"/>
      <c r="I213" s="58"/>
      <c r="J213" s="58"/>
      <c r="K213" s="58"/>
      <c r="L213" s="58"/>
      <c r="M213" s="58"/>
      <c r="N213" s="58"/>
      <c r="O213" s="60"/>
      <c r="P213" s="58"/>
      <c r="Q213" s="58"/>
      <c r="R213" s="59"/>
      <c r="T213" s="182"/>
      <c r="U213" s="182"/>
    </row>
    <row r="214" spans="2:21" ht="9.75" customHeight="1" x14ac:dyDescent="0.4">
      <c r="C214" s="17"/>
      <c r="D214" s="60" t="s">
        <v>303</v>
      </c>
      <c r="E214" s="60"/>
      <c r="F214" s="58"/>
      <c r="G214" s="58"/>
      <c r="H214" s="58"/>
      <c r="I214" s="58"/>
      <c r="J214" s="58"/>
      <c r="K214" s="58"/>
      <c r="L214" s="58"/>
      <c r="M214" s="58"/>
      <c r="N214" s="58"/>
      <c r="O214" s="60"/>
      <c r="P214" s="58"/>
      <c r="Q214" s="58"/>
      <c r="R214" s="59"/>
      <c r="T214" s="182"/>
      <c r="U214" s="182"/>
    </row>
    <row r="215" spans="2:21" ht="9.75" customHeight="1" x14ac:dyDescent="0.4">
      <c r="C215" s="17"/>
      <c r="D215" s="60" t="s">
        <v>369</v>
      </c>
      <c r="E215" s="60"/>
      <c r="F215" s="58"/>
      <c r="G215" s="58"/>
      <c r="H215" s="58"/>
      <c r="I215" s="58"/>
      <c r="J215" s="58"/>
      <c r="K215" s="58"/>
      <c r="L215" s="58"/>
      <c r="M215" s="58"/>
      <c r="N215" s="58"/>
      <c r="O215" s="60"/>
      <c r="P215" s="58"/>
      <c r="Q215" s="58"/>
      <c r="R215" s="59"/>
      <c r="T215" s="182"/>
      <c r="U215" s="182"/>
    </row>
    <row r="216" spans="2:21" ht="9.75" customHeight="1" x14ac:dyDescent="0.4">
      <c r="C216" s="27"/>
      <c r="D216" s="60" t="s">
        <v>369</v>
      </c>
      <c r="E216" s="60"/>
      <c r="F216" s="58"/>
      <c r="G216" s="58"/>
      <c r="H216" s="58"/>
      <c r="I216" s="58"/>
      <c r="J216" s="58"/>
      <c r="K216" s="58"/>
      <c r="L216" s="58"/>
      <c r="M216" s="58"/>
      <c r="N216" s="58"/>
      <c r="O216" s="60"/>
      <c r="P216" s="58"/>
      <c r="Q216" s="58"/>
      <c r="R216" s="59"/>
      <c r="T216" s="182"/>
      <c r="U216" s="182"/>
    </row>
    <row r="217" spans="2:21" ht="9.75" customHeight="1" x14ac:dyDescent="0.4">
      <c r="C217" s="27"/>
      <c r="D217" s="60" t="s">
        <v>308</v>
      </c>
      <c r="E217" s="60"/>
      <c r="F217" s="58"/>
      <c r="G217" s="58"/>
      <c r="H217" s="58"/>
      <c r="I217" s="58"/>
      <c r="J217" s="58"/>
      <c r="K217" s="58"/>
      <c r="L217" s="58"/>
      <c r="M217" s="58"/>
      <c r="N217" s="58"/>
      <c r="O217" s="60"/>
      <c r="P217" s="58"/>
      <c r="Q217" s="58"/>
      <c r="R217" s="59"/>
      <c r="T217" s="182"/>
      <c r="U217" s="182"/>
    </row>
    <row r="218" spans="2:21" ht="9.75" customHeight="1" x14ac:dyDescent="0.4">
      <c r="C218" s="27"/>
      <c r="D218" s="60" t="s">
        <v>374</v>
      </c>
      <c r="E218" s="60"/>
      <c r="F218" s="58"/>
      <c r="G218" s="58"/>
      <c r="H218" s="58"/>
      <c r="I218" s="58"/>
      <c r="J218" s="58"/>
      <c r="K218" s="58"/>
      <c r="L218" s="58"/>
      <c r="M218" s="58"/>
      <c r="N218" s="58"/>
      <c r="O218" s="60"/>
      <c r="P218" s="58"/>
      <c r="Q218" s="58"/>
      <c r="R218" s="59"/>
      <c r="T218" s="182"/>
      <c r="U218" s="182"/>
    </row>
    <row r="219" spans="2:21" ht="9.75" customHeight="1" x14ac:dyDescent="0.4">
      <c r="C219" s="27"/>
      <c r="D219" s="60" t="s">
        <v>374</v>
      </c>
      <c r="E219" s="60"/>
      <c r="F219" s="58"/>
      <c r="G219" s="58"/>
      <c r="H219" s="58"/>
      <c r="I219" s="58"/>
      <c r="J219" s="58"/>
      <c r="K219" s="58"/>
      <c r="L219" s="58"/>
      <c r="M219" s="58"/>
      <c r="N219" s="58"/>
      <c r="O219" s="60"/>
      <c r="P219" s="58"/>
      <c r="Q219" s="58"/>
      <c r="R219" s="59"/>
      <c r="T219" s="182"/>
      <c r="U219" s="182"/>
    </row>
    <row r="220" spans="2:21" ht="9.75" customHeight="1" x14ac:dyDescent="0.4">
      <c r="C220" s="27"/>
      <c r="D220" s="60" t="s">
        <v>374</v>
      </c>
      <c r="E220" s="60"/>
      <c r="F220" s="58"/>
      <c r="G220" s="58"/>
      <c r="H220" s="58"/>
      <c r="I220" s="58"/>
      <c r="J220" s="58"/>
      <c r="K220" s="58"/>
      <c r="L220" s="58"/>
      <c r="M220" s="58"/>
      <c r="N220" s="58"/>
      <c r="O220" s="60"/>
      <c r="P220" s="58"/>
      <c r="Q220" s="58"/>
      <c r="R220" s="59"/>
      <c r="T220" s="182"/>
      <c r="U220" s="182"/>
    </row>
    <row r="221" spans="2:21" ht="9.75" customHeight="1" x14ac:dyDescent="0.4">
      <c r="C221" s="27"/>
      <c r="D221" s="60" t="s">
        <v>374</v>
      </c>
      <c r="E221" s="60"/>
      <c r="F221" s="58"/>
      <c r="G221" s="58"/>
      <c r="H221" s="58"/>
      <c r="I221" s="58"/>
      <c r="J221" s="58"/>
      <c r="K221" s="58"/>
      <c r="L221" s="58"/>
      <c r="M221" s="58"/>
      <c r="N221" s="58"/>
      <c r="O221" s="60"/>
      <c r="P221" s="58"/>
      <c r="Q221" s="58"/>
      <c r="R221" s="59"/>
      <c r="T221" s="182"/>
      <c r="U221" s="182"/>
    </row>
    <row r="222" spans="2:21" ht="9.75" customHeight="1" x14ac:dyDescent="0.4">
      <c r="C222" s="27"/>
      <c r="D222" s="60" t="s">
        <v>374</v>
      </c>
      <c r="E222" s="60"/>
      <c r="F222" s="58"/>
      <c r="G222" s="58"/>
      <c r="H222" s="58"/>
      <c r="I222" s="58"/>
      <c r="J222" s="58"/>
      <c r="K222" s="58"/>
      <c r="L222" s="58"/>
      <c r="M222" s="58"/>
      <c r="N222" s="58"/>
      <c r="O222" s="60"/>
      <c r="P222" s="58"/>
      <c r="Q222" s="58"/>
      <c r="R222" s="59"/>
      <c r="T222" s="182"/>
      <c r="U222" s="182"/>
    </row>
    <row r="223" spans="2:21" ht="9.75" customHeight="1" x14ac:dyDescent="0.4">
      <c r="C223" s="27"/>
      <c r="D223" s="60" t="s">
        <v>374</v>
      </c>
      <c r="E223" s="60"/>
      <c r="F223" s="58"/>
      <c r="G223" s="58"/>
      <c r="H223" s="58"/>
      <c r="I223" s="58"/>
      <c r="J223" s="58"/>
      <c r="K223" s="58"/>
      <c r="L223" s="58"/>
      <c r="M223" s="58"/>
      <c r="N223" s="58"/>
      <c r="O223" s="60"/>
      <c r="P223" s="58"/>
      <c r="Q223" s="58"/>
      <c r="R223" s="59"/>
      <c r="T223" s="182"/>
      <c r="U223" s="182"/>
    </row>
    <row r="224" spans="2:21" ht="9.75" customHeight="1" x14ac:dyDescent="0.4">
      <c r="C224" s="27"/>
      <c r="D224" s="60" t="s">
        <v>310</v>
      </c>
      <c r="E224" s="60"/>
      <c r="F224" s="58"/>
      <c r="G224" s="58"/>
      <c r="H224" s="58"/>
      <c r="I224" s="58"/>
      <c r="J224" s="58"/>
      <c r="K224" s="58"/>
      <c r="L224" s="58"/>
      <c r="M224" s="58"/>
      <c r="N224" s="58"/>
      <c r="O224" s="60"/>
      <c r="P224" s="58"/>
      <c r="Q224" s="58"/>
      <c r="R224" s="59"/>
      <c r="T224" s="182"/>
      <c r="U224" s="182"/>
    </row>
    <row r="225" spans="2:21" ht="9.75" customHeight="1" x14ac:dyDescent="0.4">
      <c r="C225" s="27"/>
      <c r="D225" s="60" t="s">
        <v>311</v>
      </c>
      <c r="E225" s="60"/>
      <c r="F225" s="58"/>
      <c r="G225" s="58"/>
      <c r="H225" s="58"/>
      <c r="I225" s="58"/>
      <c r="J225" s="58"/>
      <c r="K225" s="58"/>
      <c r="L225" s="58"/>
      <c r="M225" s="58"/>
      <c r="N225" s="58"/>
      <c r="O225" s="60"/>
      <c r="P225" s="58"/>
      <c r="Q225" s="58"/>
      <c r="R225" s="59"/>
      <c r="T225" s="182"/>
      <c r="U225" s="182"/>
    </row>
    <row r="226" spans="2:21" ht="9.75" customHeight="1" x14ac:dyDescent="0.4">
      <c r="C226" s="27"/>
      <c r="D226" s="60" t="s">
        <v>312</v>
      </c>
      <c r="E226" s="60"/>
      <c r="F226" s="58"/>
      <c r="G226" s="58"/>
      <c r="H226" s="58"/>
      <c r="I226" s="58"/>
      <c r="J226" s="58"/>
      <c r="K226" s="58"/>
      <c r="L226" s="58"/>
      <c r="M226" s="58"/>
      <c r="N226" s="58"/>
      <c r="O226" s="60"/>
      <c r="P226" s="58"/>
      <c r="Q226" s="58"/>
      <c r="R226" s="59"/>
      <c r="T226" s="182"/>
      <c r="U226" s="182"/>
    </row>
    <row r="227" spans="2:21" ht="9.75" customHeight="1" x14ac:dyDescent="0.4">
      <c r="C227" s="27"/>
      <c r="D227" s="64" t="s">
        <v>313</v>
      </c>
      <c r="E227" s="64"/>
      <c r="F227" s="63"/>
      <c r="G227" s="63"/>
      <c r="H227" s="63"/>
      <c r="I227" s="63"/>
      <c r="J227" s="63"/>
      <c r="K227" s="63"/>
      <c r="L227" s="63"/>
      <c r="M227" s="63"/>
      <c r="N227" s="63"/>
      <c r="O227" s="64"/>
      <c r="P227" s="63"/>
      <c r="Q227" s="63"/>
      <c r="R227" s="407"/>
      <c r="T227" s="182"/>
      <c r="U227" s="182"/>
    </row>
    <row r="228" spans="2:21" ht="9.75" customHeight="1" x14ac:dyDescent="0.4">
      <c r="B228" s="219" t="s">
        <v>395</v>
      </c>
      <c r="C228" s="125"/>
      <c r="D228" s="69" t="s">
        <v>314</v>
      </c>
      <c r="E228" s="408">
        <f t="shared" ref="E228:O228" si="30">SUM(E212:E227)</f>
        <v>47</v>
      </c>
      <c r="F228" s="409">
        <f t="shared" si="30"/>
        <v>42</v>
      </c>
      <c r="G228" s="409">
        <f t="shared" si="30"/>
        <v>35</v>
      </c>
      <c r="H228" s="409">
        <f t="shared" si="30"/>
        <v>28</v>
      </c>
      <c r="I228" s="409">
        <f t="shared" si="30"/>
        <v>25</v>
      </c>
      <c r="J228" s="409">
        <f t="shared" si="30"/>
        <v>23</v>
      </c>
      <c r="K228" s="409">
        <f t="shared" si="30"/>
        <v>10</v>
      </c>
      <c r="L228" s="409">
        <f t="shared" si="30"/>
        <v>10</v>
      </c>
      <c r="M228" s="409">
        <f t="shared" si="30"/>
        <v>16</v>
      </c>
      <c r="N228" s="409">
        <f t="shared" si="30"/>
        <v>22</v>
      </c>
      <c r="O228" s="408">
        <f t="shared" si="30"/>
        <v>32</v>
      </c>
      <c r="P228" s="409">
        <f t="shared" ref="P228:P229" si="31">MIN(F228:O228)</f>
        <v>10</v>
      </c>
      <c r="Q228" s="409">
        <f t="shared" ref="Q228:Q229" si="32">E228-P228</f>
        <v>37</v>
      </c>
      <c r="R228" s="410">
        <f t="shared" ref="R228:R229" si="33">Q228/E228</f>
        <v>0.78723404255319152</v>
      </c>
      <c r="T228" s="182"/>
      <c r="U228" s="182"/>
    </row>
    <row r="229" spans="2:21" ht="9.75" customHeight="1" x14ac:dyDescent="0.4">
      <c r="C229" s="27" t="s">
        <v>223</v>
      </c>
      <c r="D229" s="60" t="s">
        <v>300</v>
      </c>
      <c r="E229" s="123">
        <v>43</v>
      </c>
      <c r="F229" s="58">
        <v>35</v>
      </c>
      <c r="G229" s="74">
        <v>20</v>
      </c>
      <c r="H229" s="74">
        <v>10</v>
      </c>
      <c r="I229" s="74">
        <v>9</v>
      </c>
      <c r="J229" s="74">
        <v>15</v>
      </c>
      <c r="K229" s="74">
        <v>15</v>
      </c>
      <c r="L229" s="74">
        <v>15</v>
      </c>
      <c r="M229" s="74">
        <v>22</v>
      </c>
      <c r="N229" s="74">
        <v>31</v>
      </c>
      <c r="O229" s="123">
        <v>38</v>
      </c>
      <c r="P229" s="74">
        <f t="shared" si="31"/>
        <v>9</v>
      </c>
      <c r="Q229" s="74">
        <f t="shared" si="32"/>
        <v>34</v>
      </c>
      <c r="R229" s="75">
        <f t="shared" si="33"/>
        <v>0.79069767441860461</v>
      </c>
      <c r="T229" s="182"/>
      <c r="U229" s="182"/>
    </row>
    <row r="230" spans="2:21" ht="9.75" customHeight="1" x14ac:dyDescent="0.4">
      <c r="C230" s="17"/>
      <c r="D230" s="60" t="s">
        <v>301</v>
      </c>
      <c r="E230" s="60"/>
      <c r="G230" s="58"/>
      <c r="H230" s="58"/>
      <c r="I230" s="58"/>
      <c r="J230" s="58"/>
      <c r="K230" s="58"/>
      <c r="L230" s="58"/>
      <c r="M230" s="58"/>
      <c r="N230" s="58"/>
      <c r="O230" s="60"/>
      <c r="P230" s="58"/>
      <c r="Q230" s="58"/>
      <c r="R230" s="59"/>
      <c r="T230" s="182"/>
      <c r="U230" s="182"/>
    </row>
    <row r="231" spans="2:21" ht="9.75" customHeight="1" x14ac:dyDescent="0.4">
      <c r="C231" s="17"/>
      <c r="D231" s="60" t="s">
        <v>303</v>
      </c>
      <c r="E231" s="60"/>
      <c r="F231" s="58"/>
      <c r="G231" s="58"/>
      <c r="H231" s="58"/>
      <c r="I231" s="58"/>
      <c r="J231" s="58"/>
      <c r="K231" s="58"/>
      <c r="L231" s="58"/>
      <c r="M231" s="58"/>
      <c r="N231" s="58"/>
      <c r="O231" s="60"/>
      <c r="P231" s="58"/>
      <c r="Q231" s="58"/>
      <c r="R231" s="59"/>
      <c r="T231" s="182"/>
      <c r="U231" s="182"/>
    </row>
    <row r="232" spans="2:21" ht="9.75" customHeight="1" x14ac:dyDescent="0.4">
      <c r="C232" s="17"/>
      <c r="D232" s="60" t="s">
        <v>369</v>
      </c>
      <c r="E232" s="60"/>
      <c r="F232" s="58"/>
      <c r="G232" s="58"/>
      <c r="H232" s="58"/>
      <c r="I232" s="58"/>
      <c r="J232" s="58"/>
      <c r="K232" s="58"/>
      <c r="L232" s="58"/>
      <c r="M232" s="58"/>
      <c r="N232" s="58"/>
      <c r="O232" s="60"/>
      <c r="P232" s="58"/>
      <c r="Q232" s="58"/>
      <c r="R232" s="59"/>
      <c r="T232" s="182"/>
      <c r="U232" s="182"/>
    </row>
    <row r="233" spans="2:21" ht="9.75" customHeight="1" x14ac:dyDescent="0.4">
      <c r="C233" s="27"/>
      <c r="D233" s="60" t="s">
        <v>369</v>
      </c>
      <c r="E233" s="60"/>
      <c r="F233" s="58"/>
      <c r="G233" s="58"/>
      <c r="H233" s="58"/>
      <c r="I233" s="58"/>
      <c r="J233" s="58"/>
      <c r="K233" s="58"/>
      <c r="L233" s="58"/>
      <c r="M233" s="58"/>
      <c r="N233" s="58"/>
      <c r="O233" s="60"/>
      <c r="P233" s="58"/>
      <c r="Q233" s="58"/>
      <c r="R233" s="59"/>
      <c r="T233" s="182"/>
      <c r="U233" s="182"/>
    </row>
    <row r="234" spans="2:21" ht="9.75" customHeight="1" x14ac:dyDescent="0.4">
      <c r="C234" s="27"/>
      <c r="D234" s="60" t="s">
        <v>308</v>
      </c>
      <c r="E234" s="60"/>
      <c r="F234" s="58"/>
      <c r="G234" s="58"/>
      <c r="H234" s="58"/>
      <c r="I234" s="58"/>
      <c r="J234" s="58"/>
      <c r="K234" s="58"/>
      <c r="L234" s="58"/>
      <c r="M234" s="58"/>
      <c r="N234" s="58"/>
      <c r="O234" s="60"/>
      <c r="P234" s="58"/>
      <c r="Q234" s="58"/>
      <c r="R234" s="59"/>
      <c r="T234" s="182"/>
      <c r="U234" s="182"/>
    </row>
    <row r="235" spans="2:21" ht="9.75" customHeight="1" x14ac:dyDescent="0.4">
      <c r="C235" s="27"/>
      <c r="D235" s="60" t="s">
        <v>374</v>
      </c>
      <c r="E235" s="60"/>
      <c r="F235" s="58"/>
      <c r="G235" s="58"/>
      <c r="H235" s="58"/>
      <c r="I235" s="58"/>
      <c r="J235" s="58"/>
      <c r="K235" s="58"/>
      <c r="L235" s="58"/>
      <c r="M235" s="58"/>
      <c r="N235" s="58"/>
      <c r="O235" s="60"/>
      <c r="P235" s="58"/>
      <c r="Q235" s="58"/>
      <c r="R235" s="59"/>
      <c r="T235" s="182"/>
      <c r="U235" s="182"/>
    </row>
    <row r="236" spans="2:21" ht="9.75" customHeight="1" x14ac:dyDescent="0.4">
      <c r="C236" s="27"/>
      <c r="D236" s="60" t="s">
        <v>374</v>
      </c>
      <c r="E236" s="60"/>
      <c r="F236" s="58"/>
      <c r="G236" s="58"/>
      <c r="H236" s="58"/>
      <c r="I236" s="58"/>
      <c r="J236" s="58"/>
      <c r="K236" s="58"/>
      <c r="L236" s="58"/>
      <c r="M236" s="58"/>
      <c r="N236" s="58"/>
      <c r="O236" s="60"/>
      <c r="P236" s="58"/>
      <c r="Q236" s="58"/>
      <c r="R236" s="59"/>
      <c r="T236" s="182"/>
      <c r="U236" s="182"/>
    </row>
    <row r="237" spans="2:21" ht="9.75" customHeight="1" x14ac:dyDescent="0.4">
      <c r="C237" s="27"/>
      <c r="D237" s="60" t="s">
        <v>374</v>
      </c>
      <c r="E237" s="60"/>
      <c r="F237" s="58"/>
      <c r="G237" s="58"/>
      <c r="H237" s="58"/>
      <c r="I237" s="58"/>
      <c r="J237" s="58"/>
      <c r="K237" s="58"/>
      <c r="L237" s="58"/>
      <c r="M237" s="58"/>
      <c r="N237" s="58"/>
      <c r="O237" s="60"/>
      <c r="P237" s="58"/>
      <c r="Q237" s="58"/>
      <c r="R237" s="59"/>
      <c r="T237" s="182"/>
      <c r="U237" s="182"/>
    </row>
    <row r="238" spans="2:21" ht="9.75" customHeight="1" x14ac:dyDescent="0.4">
      <c r="C238" s="27"/>
      <c r="D238" s="60" t="s">
        <v>374</v>
      </c>
      <c r="E238" s="60"/>
      <c r="F238" s="58"/>
      <c r="G238" s="58"/>
      <c r="H238" s="58"/>
      <c r="I238" s="58"/>
      <c r="J238" s="58"/>
      <c r="K238" s="58"/>
      <c r="L238" s="58"/>
      <c r="M238" s="58"/>
      <c r="N238" s="58"/>
      <c r="O238" s="60"/>
      <c r="P238" s="58"/>
      <c r="Q238" s="58"/>
      <c r="R238" s="59"/>
      <c r="T238" s="182"/>
      <c r="U238" s="182"/>
    </row>
    <row r="239" spans="2:21" ht="9.75" customHeight="1" x14ac:dyDescent="0.4">
      <c r="C239" s="27"/>
      <c r="D239" s="60" t="s">
        <v>374</v>
      </c>
      <c r="E239" s="60"/>
      <c r="F239" s="58"/>
      <c r="G239" s="58"/>
      <c r="H239" s="58"/>
      <c r="I239" s="58"/>
      <c r="J239" s="58"/>
      <c r="K239" s="58"/>
      <c r="L239" s="58"/>
      <c r="M239" s="58"/>
      <c r="N239" s="58"/>
      <c r="O239" s="60"/>
      <c r="P239" s="58"/>
      <c r="Q239" s="58"/>
      <c r="R239" s="59"/>
      <c r="T239" s="182"/>
      <c r="U239" s="182"/>
    </row>
    <row r="240" spans="2:21" ht="9.75" customHeight="1" x14ac:dyDescent="0.4">
      <c r="C240" s="27"/>
      <c r="D240" s="60" t="s">
        <v>374</v>
      </c>
      <c r="E240" s="60"/>
      <c r="F240" s="58"/>
      <c r="G240" s="58"/>
      <c r="H240" s="58"/>
      <c r="I240" s="58"/>
      <c r="J240" s="58"/>
      <c r="K240" s="58"/>
      <c r="L240" s="58"/>
      <c r="M240" s="58"/>
      <c r="N240" s="58"/>
      <c r="O240" s="60"/>
      <c r="P240" s="58"/>
      <c r="Q240" s="58"/>
      <c r="R240" s="59"/>
      <c r="T240" s="182"/>
      <c r="U240" s="182"/>
    </row>
    <row r="241" spans="2:23" ht="9.75" customHeight="1" x14ac:dyDescent="0.4">
      <c r="C241" s="27"/>
      <c r="D241" s="60" t="s">
        <v>310</v>
      </c>
      <c r="E241" s="123">
        <v>1</v>
      </c>
      <c r="F241" s="74">
        <v>1</v>
      </c>
      <c r="G241" s="74">
        <v>0</v>
      </c>
      <c r="H241" s="74">
        <v>0</v>
      </c>
      <c r="I241" s="74">
        <v>1</v>
      </c>
      <c r="J241" s="74">
        <v>1</v>
      </c>
      <c r="K241" s="74">
        <v>0</v>
      </c>
      <c r="L241" s="74">
        <v>1</v>
      </c>
      <c r="M241" s="74">
        <v>1</v>
      </c>
      <c r="N241" s="74">
        <v>1</v>
      </c>
      <c r="O241" s="123">
        <v>1</v>
      </c>
      <c r="P241" s="74">
        <f>MIN(F241:O241)</f>
        <v>0</v>
      </c>
      <c r="Q241" s="74">
        <f>E241-P241</f>
        <v>1</v>
      </c>
      <c r="R241" s="75">
        <f>Q241/E241</f>
        <v>1</v>
      </c>
      <c r="T241" s="182"/>
      <c r="U241" s="182"/>
    </row>
    <row r="242" spans="2:23" ht="9.75" customHeight="1" x14ac:dyDescent="0.4">
      <c r="C242" s="27"/>
      <c r="D242" s="60" t="s">
        <v>311</v>
      </c>
      <c r="E242" s="60"/>
      <c r="F242" s="58"/>
      <c r="G242" s="58"/>
      <c r="H242" s="58"/>
      <c r="I242" s="58"/>
      <c r="J242" s="58"/>
      <c r="K242" s="58"/>
      <c r="L242" s="58"/>
      <c r="M242" s="58"/>
      <c r="N242" s="58"/>
      <c r="O242" s="60"/>
      <c r="P242" s="58"/>
      <c r="Q242" s="58"/>
      <c r="R242" s="59"/>
      <c r="T242" s="182"/>
      <c r="U242" s="182"/>
    </row>
    <row r="243" spans="2:23" ht="9.75" customHeight="1" x14ac:dyDescent="0.4">
      <c r="C243" s="27"/>
      <c r="D243" s="60" t="s">
        <v>312</v>
      </c>
      <c r="E243" s="60"/>
      <c r="F243" s="58"/>
      <c r="G243" s="58"/>
      <c r="H243" s="58"/>
      <c r="I243" s="58"/>
      <c r="J243" s="58"/>
      <c r="K243" s="58"/>
      <c r="L243" s="58"/>
      <c r="M243" s="58"/>
      <c r="N243" s="58"/>
      <c r="O243" s="60"/>
      <c r="P243" s="58"/>
      <c r="Q243" s="58"/>
      <c r="R243" s="59"/>
      <c r="T243" s="182"/>
      <c r="U243" s="182"/>
    </row>
    <row r="244" spans="2:23" ht="9.75" customHeight="1" x14ac:dyDescent="0.4">
      <c r="C244" s="27"/>
      <c r="D244" s="64" t="s">
        <v>313</v>
      </c>
      <c r="E244" s="64"/>
      <c r="F244" s="63"/>
      <c r="G244" s="63"/>
      <c r="H244" s="63"/>
      <c r="I244" s="63"/>
      <c r="J244" s="63"/>
      <c r="K244" s="63"/>
      <c r="L244" s="63"/>
      <c r="M244" s="63"/>
      <c r="N244" s="63"/>
      <c r="O244" s="64"/>
      <c r="P244" s="63"/>
      <c r="Q244" s="63"/>
      <c r="R244" s="407"/>
      <c r="T244" s="182"/>
      <c r="U244" s="182"/>
    </row>
    <row r="245" spans="2:23" ht="9.75" customHeight="1" x14ac:dyDescent="0.4">
      <c r="B245" s="219" t="s">
        <v>395</v>
      </c>
      <c r="C245" s="125"/>
      <c r="D245" s="69" t="s">
        <v>314</v>
      </c>
      <c r="E245" s="408">
        <f t="shared" ref="E245:O245" si="34">SUM(E229:E244)</f>
        <v>44</v>
      </c>
      <c r="F245" s="409">
        <f t="shared" si="34"/>
        <v>36</v>
      </c>
      <c r="G245" s="409">
        <f t="shared" si="34"/>
        <v>20</v>
      </c>
      <c r="H245" s="409">
        <f t="shared" si="34"/>
        <v>10</v>
      </c>
      <c r="I245" s="409">
        <f t="shared" si="34"/>
        <v>10</v>
      </c>
      <c r="J245" s="409">
        <f t="shared" si="34"/>
        <v>16</v>
      </c>
      <c r="K245" s="409">
        <f t="shared" si="34"/>
        <v>15</v>
      </c>
      <c r="L245" s="409">
        <f t="shared" si="34"/>
        <v>16</v>
      </c>
      <c r="M245" s="409">
        <f t="shared" si="34"/>
        <v>23</v>
      </c>
      <c r="N245" s="409">
        <f t="shared" si="34"/>
        <v>32</v>
      </c>
      <c r="O245" s="408">
        <f t="shared" si="34"/>
        <v>39</v>
      </c>
      <c r="P245" s="409">
        <f>MIN(F245:O245)</f>
        <v>10</v>
      </c>
      <c r="Q245" s="409">
        <f>E245-P245</f>
        <v>34</v>
      </c>
      <c r="R245" s="410">
        <f>Q245/E245</f>
        <v>0.77272727272727271</v>
      </c>
      <c r="T245" s="182"/>
      <c r="U245" s="182"/>
    </row>
    <row r="246" spans="2:23" ht="9.75" customHeight="1" x14ac:dyDescent="0.4">
      <c r="C246" s="27" t="s">
        <v>225</v>
      </c>
      <c r="D246" s="60" t="s">
        <v>300</v>
      </c>
      <c r="E246" s="60"/>
      <c r="F246" s="58"/>
      <c r="G246" s="58"/>
      <c r="H246" s="58"/>
      <c r="I246" s="58"/>
      <c r="J246" s="58"/>
      <c r="K246" s="58"/>
      <c r="L246" s="58"/>
      <c r="M246" s="58"/>
      <c r="N246" s="58"/>
      <c r="O246" s="60"/>
      <c r="P246" s="58"/>
      <c r="Q246" s="58"/>
      <c r="R246" s="59"/>
      <c r="T246" s="182"/>
      <c r="U246" s="182"/>
    </row>
    <row r="247" spans="2:23" ht="9.75" customHeight="1" x14ac:dyDescent="0.4">
      <c r="C247" s="17"/>
      <c r="D247" s="60" t="s">
        <v>301</v>
      </c>
      <c r="E247" s="123">
        <v>53</v>
      </c>
      <c r="F247" s="74">
        <v>41</v>
      </c>
      <c r="G247" s="74">
        <v>28</v>
      </c>
      <c r="H247" s="74">
        <v>22</v>
      </c>
      <c r="I247" s="74">
        <v>20</v>
      </c>
      <c r="J247" s="74">
        <v>22</v>
      </c>
      <c r="K247" s="74">
        <v>23</v>
      </c>
      <c r="L247" s="74">
        <v>23</v>
      </c>
      <c r="M247" s="74">
        <v>26</v>
      </c>
      <c r="N247" s="74">
        <v>29</v>
      </c>
      <c r="O247" s="123">
        <v>34</v>
      </c>
      <c r="P247" s="74">
        <f>MIN(F247:O247)</f>
        <v>20</v>
      </c>
      <c r="Q247" s="74">
        <f>E247-P247</f>
        <v>33</v>
      </c>
      <c r="R247" s="75">
        <f>Q247/E247</f>
        <v>0.62264150943396224</v>
      </c>
      <c r="T247" s="182"/>
      <c r="U247" s="182"/>
      <c r="V247" s="417">
        <f t="shared" ref="V247:W247" si="35">SUM(E247,E264,E281,E298,E315,E332,E349,E366,E383,E400,E417,E485,E596)</f>
        <v>1087</v>
      </c>
      <c r="W247" s="417">
        <f t="shared" si="35"/>
        <v>343</v>
      </c>
    </row>
    <row r="248" spans="2:23" ht="9.75" customHeight="1" x14ac:dyDescent="0.4">
      <c r="C248" s="17"/>
      <c r="D248" s="60" t="s">
        <v>303</v>
      </c>
      <c r="E248" s="60"/>
      <c r="F248" s="58"/>
      <c r="G248" s="58"/>
      <c r="H248" s="58"/>
      <c r="I248" s="58"/>
      <c r="J248" s="58"/>
      <c r="K248" s="58"/>
      <c r="L248" s="58"/>
      <c r="M248" s="58"/>
      <c r="N248" s="58"/>
      <c r="O248" s="60"/>
      <c r="P248" s="58"/>
      <c r="Q248" s="58"/>
      <c r="R248" s="59"/>
      <c r="T248" s="182"/>
      <c r="U248" s="182"/>
    </row>
    <row r="249" spans="2:23" ht="9.75" customHeight="1" x14ac:dyDescent="0.4">
      <c r="C249" s="17"/>
      <c r="D249" s="60" t="s">
        <v>369</v>
      </c>
      <c r="E249" s="60"/>
      <c r="F249" s="58"/>
      <c r="G249" s="58"/>
      <c r="H249" s="58"/>
      <c r="I249" s="58"/>
      <c r="J249" s="58"/>
      <c r="K249" s="58"/>
      <c r="L249" s="58"/>
      <c r="M249" s="58"/>
      <c r="N249" s="58"/>
      <c r="O249" s="60"/>
      <c r="P249" s="58"/>
      <c r="Q249" s="58"/>
      <c r="R249" s="59"/>
      <c r="T249" s="182"/>
      <c r="U249" s="182"/>
    </row>
    <row r="250" spans="2:23" ht="9.75" customHeight="1" x14ac:dyDescent="0.4">
      <c r="C250" s="27"/>
      <c r="D250" s="60" t="s">
        <v>369</v>
      </c>
      <c r="E250" s="60"/>
      <c r="F250" s="58"/>
      <c r="G250" s="58"/>
      <c r="H250" s="58"/>
      <c r="I250" s="58"/>
      <c r="J250" s="58"/>
      <c r="K250" s="58"/>
      <c r="L250" s="58"/>
      <c r="M250" s="58"/>
      <c r="N250" s="58"/>
      <c r="O250" s="60"/>
      <c r="P250" s="58"/>
      <c r="Q250" s="58"/>
      <c r="R250" s="59"/>
      <c r="T250" s="182"/>
      <c r="U250" s="182"/>
    </row>
    <row r="251" spans="2:23" ht="9.75" customHeight="1" x14ac:dyDescent="0.4">
      <c r="C251" s="27"/>
      <c r="D251" s="60" t="s">
        <v>308</v>
      </c>
      <c r="E251" s="60"/>
      <c r="F251" s="58"/>
      <c r="G251" s="58"/>
      <c r="H251" s="58"/>
      <c r="I251" s="58"/>
      <c r="J251" s="58"/>
      <c r="K251" s="58"/>
      <c r="L251" s="58"/>
      <c r="M251" s="58"/>
      <c r="N251" s="58"/>
      <c r="O251" s="60"/>
      <c r="P251" s="58"/>
      <c r="Q251" s="58"/>
      <c r="R251" s="59"/>
      <c r="T251" s="182"/>
      <c r="U251" s="182"/>
    </row>
    <row r="252" spans="2:23" ht="9.75" customHeight="1" x14ac:dyDescent="0.4">
      <c r="C252" s="27"/>
      <c r="D252" s="60" t="s">
        <v>374</v>
      </c>
      <c r="E252" s="60"/>
      <c r="F252" s="58"/>
      <c r="G252" s="58"/>
      <c r="H252" s="58"/>
      <c r="I252" s="58"/>
      <c r="J252" s="58"/>
      <c r="K252" s="58"/>
      <c r="L252" s="58"/>
      <c r="M252" s="58"/>
      <c r="N252" s="58"/>
      <c r="O252" s="60"/>
      <c r="P252" s="58"/>
      <c r="Q252" s="58"/>
      <c r="R252" s="59"/>
      <c r="T252" s="182"/>
      <c r="U252" s="182"/>
    </row>
    <row r="253" spans="2:23" ht="9.75" customHeight="1" x14ac:dyDescent="0.4">
      <c r="C253" s="27"/>
      <c r="D253" s="60" t="s">
        <v>374</v>
      </c>
      <c r="E253" s="60"/>
      <c r="F253" s="58"/>
      <c r="G253" s="58"/>
      <c r="H253" s="58"/>
      <c r="I253" s="58"/>
      <c r="J253" s="58"/>
      <c r="K253" s="58"/>
      <c r="L253" s="58"/>
      <c r="M253" s="58"/>
      <c r="N253" s="58"/>
      <c r="O253" s="60"/>
      <c r="P253" s="58"/>
      <c r="Q253" s="58"/>
      <c r="R253" s="59"/>
      <c r="T253" s="182"/>
      <c r="U253" s="182"/>
    </row>
    <row r="254" spans="2:23" ht="9.75" customHeight="1" x14ac:dyDescent="0.4">
      <c r="C254" s="27"/>
      <c r="D254" s="60" t="s">
        <v>374</v>
      </c>
      <c r="E254" s="60"/>
      <c r="F254" s="58"/>
      <c r="G254" s="58"/>
      <c r="H254" s="58"/>
      <c r="I254" s="58"/>
      <c r="J254" s="58"/>
      <c r="K254" s="58"/>
      <c r="L254" s="58"/>
      <c r="M254" s="58"/>
      <c r="N254" s="58"/>
      <c r="O254" s="60"/>
      <c r="P254" s="58"/>
      <c r="Q254" s="58"/>
      <c r="R254" s="59"/>
      <c r="T254" s="182"/>
      <c r="U254" s="182"/>
    </row>
    <row r="255" spans="2:23" ht="9.75" customHeight="1" x14ac:dyDescent="0.4">
      <c r="C255" s="27"/>
      <c r="D255" s="60" t="s">
        <v>374</v>
      </c>
      <c r="E255" s="60"/>
      <c r="F255" s="58"/>
      <c r="G255" s="58"/>
      <c r="H255" s="58"/>
      <c r="I255" s="58"/>
      <c r="J255" s="58"/>
      <c r="K255" s="58"/>
      <c r="L255" s="58"/>
      <c r="M255" s="58"/>
      <c r="N255" s="58"/>
      <c r="O255" s="60"/>
      <c r="P255" s="58"/>
      <c r="Q255" s="58"/>
      <c r="R255" s="59"/>
      <c r="T255" s="182"/>
      <c r="U255" s="182"/>
    </row>
    <row r="256" spans="2:23" ht="9.75" customHeight="1" x14ac:dyDescent="0.4">
      <c r="C256" s="27"/>
      <c r="D256" s="60" t="s">
        <v>374</v>
      </c>
      <c r="E256" s="60"/>
      <c r="F256" s="58"/>
      <c r="G256" s="58"/>
      <c r="H256" s="58"/>
      <c r="I256" s="58"/>
      <c r="J256" s="58"/>
      <c r="K256" s="58"/>
      <c r="L256" s="58"/>
      <c r="M256" s="58"/>
      <c r="N256" s="58"/>
      <c r="O256" s="60"/>
      <c r="P256" s="58"/>
      <c r="Q256" s="58"/>
      <c r="R256" s="59"/>
      <c r="T256" s="182"/>
      <c r="U256" s="182"/>
    </row>
    <row r="257" spans="2:21" ht="9.75" customHeight="1" x14ac:dyDescent="0.4">
      <c r="C257" s="27"/>
      <c r="D257" s="60" t="s">
        <v>374</v>
      </c>
      <c r="E257" s="60"/>
      <c r="F257" s="58"/>
      <c r="G257" s="58"/>
      <c r="H257" s="58"/>
      <c r="I257" s="58"/>
      <c r="J257" s="58"/>
      <c r="K257" s="58"/>
      <c r="L257" s="58"/>
      <c r="M257" s="58"/>
      <c r="N257" s="58"/>
      <c r="O257" s="60"/>
      <c r="P257" s="58"/>
      <c r="Q257" s="58"/>
      <c r="R257" s="59"/>
      <c r="T257" s="182"/>
      <c r="U257" s="182"/>
    </row>
    <row r="258" spans="2:21" ht="9.75" customHeight="1" x14ac:dyDescent="0.4">
      <c r="C258" s="27"/>
      <c r="D258" s="60" t="s">
        <v>310</v>
      </c>
      <c r="E258" s="123">
        <v>2</v>
      </c>
      <c r="F258" s="74">
        <v>2</v>
      </c>
      <c r="G258" s="74">
        <v>2</v>
      </c>
      <c r="H258" s="74">
        <v>2</v>
      </c>
      <c r="I258" s="74">
        <v>2</v>
      </c>
      <c r="J258" s="74">
        <v>2</v>
      </c>
      <c r="K258" s="74">
        <v>2</v>
      </c>
      <c r="L258" s="74">
        <v>2</v>
      </c>
      <c r="M258" s="74">
        <v>2</v>
      </c>
      <c r="N258" s="74">
        <v>2</v>
      </c>
      <c r="O258" s="123">
        <v>2</v>
      </c>
      <c r="P258" s="74">
        <f>MIN(F258:O258)</f>
        <v>2</v>
      </c>
      <c r="Q258" s="74">
        <f>E258-P258</f>
        <v>0</v>
      </c>
      <c r="R258" s="75">
        <f>Q258/E258</f>
        <v>0</v>
      </c>
      <c r="T258" s="182"/>
      <c r="U258" s="182"/>
    </row>
    <row r="259" spans="2:21" ht="9.75" customHeight="1" x14ac:dyDescent="0.4">
      <c r="C259" s="27"/>
      <c r="D259" s="60" t="s">
        <v>311</v>
      </c>
      <c r="E259" s="60"/>
      <c r="F259" s="58"/>
      <c r="G259" s="58"/>
      <c r="H259" s="58"/>
      <c r="I259" s="58"/>
      <c r="J259" s="58"/>
      <c r="K259" s="58"/>
      <c r="L259" s="58"/>
      <c r="M259" s="58"/>
      <c r="N259" s="58"/>
      <c r="O259" s="60"/>
      <c r="P259" s="58"/>
      <c r="Q259" s="58"/>
      <c r="R259" s="59"/>
      <c r="T259" s="182"/>
      <c r="U259" s="182"/>
    </row>
    <row r="260" spans="2:21" ht="9.75" customHeight="1" x14ac:dyDescent="0.4">
      <c r="C260" s="27"/>
      <c r="D260" s="60" t="s">
        <v>312</v>
      </c>
      <c r="E260" s="60"/>
      <c r="F260" s="58"/>
      <c r="G260" s="58"/>
      <c r="H260" s="58"/>
      <c r="I260" s="58"/>
      <c r="J260" s="58"/>
      <c r="K260" s="58"/>
      <c r="L260" s="58"/>
      <c r="M260" s="58"/>
      <c r="N260" s="58"/>
      <c r="O260" s="60"/>
      <c r="P260" s="58"/>
      <c r="Q260" s="58"/>
      <c r="R260" s="59"/>
      <c r="T260" s="182"/>
      <c r="U260" s="182"/>
    </row>
    <row r="261" spans="2:21" ht="9.75" customHeight="1" x14ac:dyDescent="0.4">
      <c r="C261" s="27"/>
      <c r="D261" s="64" t="s">
        <v>313</v>
      </c>
      <c r="E261" s="64"/>
      <c r="F261" s="63"/>
      <c r="G261" s="63"/>
      <c r="H261" s="63"/>
      <c r="I261" s="63"/>
      <c r="J261" s="63"/>
      <c r="K261" s="63"/>
      <c r="L261" s="63"/>
      <c r="M261" s="63"/>
      <c r="N261" s="63"/>
      <c r="O261" s="64"/>
      <c r="P261" s="63"/>
      <c r="Q261" s="63"/>
      <c r="R261" s="407"/>
      <c r="T261" s="182"/>
      <c r="U261" s="182"/>
    </row>
    <row r="262" spans="2:21" ht="9.75" customHeight="1" x14ac:dyDescent="0.4">
      <c r="B262" s="219" t="s">
        <v>395</v>
      </c>
      <c r="C262" s="125"/>
      <c r="D262" s="69" t="s">
        <v>314</v>
      </c>
      <c r="E262" s="408">
        <f t="shared" ref="E262:O262" si="36">SUM(E246:E261)</f>
        <v>55</v>
      </c>
      <c r="F262" s="409">
        <f t="shared" si="36"/>
        <v>43</v>
      </c>
      <c r="G262" s="409">
        <f t="shared" si="36"/>
        <v>30</v>
      </c>
      <c r="H262" s="409">
        <f t="shared" si="36"/>
        <v>24</v>
      </c>
      <c r="I262" s="409">
        <f t="shared" si="36"/>
        <v>22</v>
      </c>
      <c r="J262" s="409">
        <f t="shared" si="36"/>
        <v>24</v>
      </c>
      <c r="K262" s="409">
        <f t="shared" si="36"/>
        <v>25</v>
      </c>
      <c r="L262" s="409">
        <f t="shared" si="36"/>
        <v>25</v>
      </c>
      <c r="M262" s="409">
        <f t="shared" si="36"/>
        <v>28</v>
      </c>
      <c r="N262" s="409">
        <f t="shared" si="36"/>
        <v>31</v>
      </c>
      <c r="O262" s="408">
        <f t="shared" si="36"/>
        <v>36</v>
      </c>
      <c r="P262" s="409">
        <f>MIN(F262:O262)</f>
        <v>22</v>
      </c>
      <c r="Q262" s="409">
        <f>E262-P262</f>
        <v>33</v>
      </c>
      <c r="R262" s="410">
        <f>Q262/E262</f>
        <v>0.6</v>
      </c>
      <c r="T262" s="182"/>
      <c r="U262" s="182"/>
    </row>
    <row r="263" spans="2:21" ht="9.75" customHeight="1" x14ac:dyDescent="0.4">
      <c r="C263" s="27" t="s">
        <v>227</v>
      </c>
      <c r="D263" s="60" t="s">
        <v>300</v>
      </c>
      <c r="E263" s="60"/>
      <c r="F263" s="58"/>
      <c r="G263" s="58"/>
      <c r="H263" s="58"/>
      <c r="I263" s="58"/>
      <c r="J263" s="58"/>
      <c r="K263" s="58"/>
      <c r="L263" s="58"/>
      <c r="M263" s="58"/>
      <c r="N263" s="58"/>
      <c r="O263" s="60"/>
      <c r="P263" s="58"/>
      <c r="Q263" s="58"/>
      <c r="R263" s="59"/>
      <c r="T263" s="182"/>
      <c r="U263" s="182"/>
    </row>
    <row r="264" spans="2:21" ht="9.75" customHeight="1" x14ac:dyDescent="0.4">
      <c r="C264" s="17"/>
      <c r="D264" s="60" t="s">
        <v>301</v>
      </c>
      <c r="E264" s="123">
        <v>84</v>
      </c>
      <c r="F264" s="74">
        <v>38</v>
      </c>
      <c r="G264" s="74">
        <v>31</v>
      </c>
      <c r="H264" s="74">
        <v>30</v>
      </c>
      <c r="I264" s="74">
        <v>28</v>
      </c>
      <c r="J264" s="74">
        <v>27</v>
      </c>
      <c r="K264" s="74">
        <v>29</v>
      </c>
      <c r="L264" s="74">
        <v>30</v>
      </c>
      <c r="M264" s="74">
        <v>32</v>
      </c>
      <c r="N264" s="74">
        <v>39</v>
      </c>
      <c r="O264" s="123">
        <v>54</v>
      </c>
      <c r="P264" s="74">
        <f>MIN(F264:O264)</f>
        <v>27</v>
      </c>
      <c r="Q264" s="74">
        <f>E264-P264</f>
        <v>57</v>
      </c>
      <c r="R264" s="75">
        <f>Q264/E264</f>
        <v>0.6785714285714286</v>
      </c>
      <c r="T264" s="182"/>
      <c r="U264" s="182"/>
    </row>
    <row r="265" spans="2:21" ht="9.75" customHeight="1" x14ac:dyDescent="0.4">
      <c r="C265" s="17"/>
      <c r="D265" s="60" t="s">
        <v>303</v>
      </c>
      <c r="E265" s="60"/>
      <c r="F265" s="58"/>
      <c r="G265" s="58"/>
      <c r="H265" s="58"/>
      <c r="I265" s="58"/>
      <c r="J265" s="58"/>
      <c r="K265" s="58"/>
      <c r="L265" s="58"/>
      <c r="M265" s="58"/>
      <c r="N265" s="58"/>
      <c r="O265" s="60"/>
      <c r="P265" s="58"/>
      <c r="Q265" s="58"/>
      <c r="R265" s="59"/>
      <c r="T265" s="182"/>
      <c r="U265" s="182"/>
    </row>
    <row r="266" spans="2:21" ht="9.75" customHeight="1" x14ac:dyDescent="0.4">
      <c r="C266" s="17"/>
      <c r="D266" s="60" t="s">
        <v>369</v>
      </c>
      <c r="E266" s="60"/>
      <c r="F266" s="58"/>
      <c r="G266" s="58"/>
      <c r="H266" s="58"/>
      <c r="I266" s="58"/>
      <c r="J266" s="58"/>
      <c r="K266" s="58"/>
      <c r="L266" s="58"/>
      <c r="M266" s="58"/>
      <c r="N266" s="58"/>
      <c r="O266" s="60"/>
      <c r="P266" s="58"/>
      <c r="Q266" s="58"/>
      <c r="R266" s="59"/>
      <c r="T266" s="182"/>
      <c r="U266" s="182"/>
    </row>
    <row r="267" spans="2:21" ht="9.75" customHeight="1" x14ac:dyDescent="0.4">
      <c r="C267" s="27"/>
      <c r="D267" s="60" t="s">
        <v>369</v>
      </c>
      <c r="E267" s="60"/>
      <c r="F267" s="58"/>
      <c r="G267" s="58"/>
      <c r="H267" s="58"/>
      <c r="I267" s="58"/>
      <c r="J267" s="58"/>
      <c r="K267" s="58"/>
      <c r="L267" s="58"/>
      <c r="M267" s="58"/>
      <c r="N267" s="58"/>
      <c r="O267" s="60"/>
      <c r="P267" s="58"/>
      <c r="Q267" s="58"/>
      <c r="R267" s="59"/>
      <c r="T267" s="182"/>
      <c r="U267" s="182"/>
    </row>
    <row r="268" spans="2:21" ht="9.75" customHeight="1" x14ac:dyDescent="0.4">
      <c r="C268" s="27"/>
      <c r="D268" s="60" t="s">
        <v>308</v>
      </c>
      <c r="E268" s="60"/>
      <c r="F268" s="58"/>
      <c r="G268" s="58"/>
      <c r="H268" s="58"/>
      <c r="I268" s="58"/>
      <c r="J268" s="58"/>
      <c r="K268" s="58"/>
      <c r="L268" s="58"/>
      <c r="M268" s="58"/>
      <c r="N268" s="58"/>
      <c r="O268" s="60"/>
      <c r="P268" s="58"/>
      <c r="Q268" s="58"/>
      <c r="R268" s="59"/>
      <c r="T268" s="182"/>
      <c r="U268" s="182"/>
    </row>
    <row r="269" spans="2:21" ht="9.75" customHeight="1" x14ac:dyDescent="0.4">
      <c r="C269" s="27"/>
      <c r="D269" s="60" t="s">
        <v>377</v>
      </c>
      <c r="E269" s="123"/>
      <c r="F269" s="74"/>
      <c r="G269" s="74"/>
      <c r="H269" s="74"/>
      <c r="I269" s="74"/>
      <c r="J269" s="74"/>
      <c r="K269" s="74"/>
      <c r="L269" s="74"/>
      <c r="M269" s="74"/>
      <c r="N269" s="74"/>
      <c r="O269" s="123"/>
      <c r="P269" s="74"/>
      <c r="Q269" s="74"/>
      <c r="R269" s="75"/>
      <c r="T269" s="182"/>
      <c r="U269" s="182"/>
    </row>
    <row r="270" spans="2:21" ht="9.75" customHeight="1" x14ac:dyDescent="0.4">
      <c r="C270" s="27"/>
      <c r="D270" s="60" t="s">
        <v>372</v>
      </c>
      <c r="E270" s="123">
        <v>5</v>
      </c>
      <c r="F270" s="74">
        <v>3</v>
      </c>
      <c r="G270" s="74">
        <v>2</v>
      </c>
      <c r="H270" s="74">
        <v>2</v>
      </c>
      <c r="I270" s="74">
        <v>1</v>
      </c>
      <c r="J270" s="74">
        <v>1</v>
      </c>
      <c r="K270" s="74">
        <v>1</v>
      </c>
      <c r="L270" s="74">
        <v>1</v>
      </c>
      <c r="M270" s="74">
        <v>2</v>
      </c>
      <c r="N270" s="74">
        <v>3</v>
      </c>
      <c r="O270" s="123">
        <v>4</v>
      </c>
      <c r="P270" s="74">
        <f t="shared" ref="P270:P271" si="37">MIN(F270:O270)</f>
        <v>1</v>
      </c>
      <c r="Q270" s="74">
        <f t="shared" ref="Q270:Q271" si="38">E270-P270</f>
        <v>4</v>
      </c>
      <c r="R270" s="75">
        <f t="shared" ref="R270:R271" si="39">Q270/E270</f>
        <v>0.8</v>
      </c>
      <c r="T270" s="182"/>
      <c r="U270" s="182"/>
    </row>
    <row r="271" spans="2:21" ht="9.75" customHeight="1" x14ac:dyDescent="0.4">
      <c r="C271" s="27"/>
      <c r="D271" s="60" t="s">
        <v>516</v>
      </c>
      <c r="E271" s="60">
        <v>1</v>
      </c>
      <c r="F271" s="58">
        <v>1</v>
      </c>
      <c r="G271" s="58">
        <v>0</v>
      </c>
      <c r="H271" s="58">
        <v>0</v>
      </c>
      <c r="I271" s="58">
        <v>0</v>
      </c>
      <c r="J271" s="58">
        <v>0</v>
      </c>
      <c r="K271" s="58">
        <v>0</v>
      </c>
      <c r="L271" s="58">
        <v>0</v>
      </c>
      <c r="M271" s="58">
        <v>0</v>
      </c>
      <c r="N271" s="58">
        <v>0</v>
      </c>
      <c r="O271" s="60">
        <v>0</v>
      </c>
      <c r="P271" s="74">
        <f t="shared" si="37"/>
        <v>0</v>
      </c>
      <c r="Q271" s="74">
        <f t="shared" si="38"/>
        <v>1</v>
      </c>
      <c r="R271" s="75">
        <f t="shared" si="39"/>
        <v>1</v>
      </c>
      <c r="T271" s="182"/>
      <c r="U271" s="182"/>
    </row>
    <row r="272" spans="2:21" ht="9.75" customHeight="1" x14ac:dyDescent="0.4">
      <c r="C272" s="27"/>
      <c r="D272" s="60" t="s">
        <v>374</v>
      </c>
      <c r="E272" s="60"/>
      <c r="F272" s="58"/>
      <c r="G272" s="58"/>
      <c r="H272" s="58"/>
      <c r="I272" s="58"/>
      <c r="J272" s="58"/>
      <c r="K272" s="58"/>
      <c r="L272" s="58"/>
      <c r="M272" s="58"/>
      <c r="N272" s="58"/>
      <c r="O272" s="60"/>
      <c r="P272" s="58"/>
      <c r="Q272" s="58"/>
      <c r="R272" s="59"/>
      <c r="T272" s="182"/>
      <c r="U272" s="182"/>
    </row>
    <row r="273" spans="2:21" ht="9.75" customHeight="1" x14ac:dyDescent="0.4">
      <c r="C273" s="27"/>
      <c r="D273" s="60" t="s">
        <v>374</v>
      </c>
      <c r="E273" s="60"/>
      <c r="F273" s="58"/>
      <c r="G273" s="58"/>
      <c r="H273" s="58"/>
      <c r="I273" s="58"/>
      <c r="J273" s="58"/>
      <c r="K273" s="58"/>
      <c r="L273" s="58"/>
      <c r="M273" s="58"/>
      <c r="N273" s="58"/>
      <c r="O273" s="60"/>
      <c r="P273" s="58"/>
      <c r="Q273" s="58"/>
      <c r="R273" s="59"/>
      <c r="T273" s="182"/>
      <c r="U273" s="182"/>
    </row>
    <row r="274" spans="2:21" ht="9.75" customHeight="1" x14ac:dyDescent="0.4">
      <c r="C274" s="27"/>
      <c r="D274" s="60" t="s">
        <v>374</v>
      </c>
      <c r="E274" s="60"/>
      <c r="F274" s="58"/>
      <c r="G274" s="58"/>
      <c r="H274" s="58"/>
      <c r="I274" s="58"/>
      <c r="J274" s="58"/>
      <c r="K274" s="58"/>
      <c r="L274" s="58"/>
      <c r="M274" s="58"/>
      <c r="N274" s="58"/>
      <c r="O274" s="60"/>
      <c r="P274" s="58"/>
      <c r="Q274" s="58"/>
      <c r="R274" s="59"/>
      <c r="T274" s="182"/>
      <c r="U274" s="182"/>
    </row>
    <row r="275" spans="2:21" ht="9.75" customHeight="1" x14ac:dyDescent="0.4">
      <c r="C275" s="27"/>
      <c r="D275" s="60" t="s">
        <v>310</v>
      </c>
      <c r="E275" s="123">
        <v>1</v>
      </c>
      <c r="F275" s="74">
        <v>1</v>
      </c>
      <c r="G275" s="74">
        <v>1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123">
        <v>0</v>
      </c>
      <c r="P275" s="74">
        <f>MIN(F275:O275)</f>
        <v>0</v>
      </c>
      <c r="Q275" s="74">
        <f>E275-P275</f>
        <v>1</v>
      </c>
      <c r="R275" s="75">
        <f>Q275/E275</f>
        <v>1</v>
      </c>
      <c r="T275" s="182"/>
      <c r="U275" s="182"/>
    </row>
    <row r="276" spans="2:21" ht="9.75" customHeight="1" x14ac:dyDescent="0.4">
      <c r="C276" s="27"/>
      <c r="D276" s="60" t="s">
        <v>311</v>
      </c>
      <c r="E276" s="60"/>
      <c r="F276" s="58"/>
      <c r="G276" s="58"/>
      <c r="H276" s="58"/>
      <c r="I276" s="58"/>
      <c r="J276" s="58"/>
      <c r="K276" s="58"/>
      <c r="L276" s="58"/>
      <c r="M276" s="58"/>
      <c r="N276" s="58"/>
      <c r="O276" s="60"/>
      <c r="P276" s="58"/>
      <c r="Q276" s="58"/>
      <c r="R276" s="59"/>
      <c r="T276" s="182"/>
      <c r="U276" s="182"/>
    </row>
    <row r="277" spans="2:21" ht="9.75" customHeight="1" x14ac:dyDescent="0.4">
      <c r="C277" s="27"/>
      <c r="D277" s="60" t="s">
        <v>312</v>
      </c>
      <c r="E277" s="60"/>
      <c r="F277" s="58"/>
      <c r="G277" s="58"/>
      <c r="H277" s="58"/>
      <c r="I277" s="58"/>
      <c r="J277" s="58"/>
      <c r="K277" s="58"/>
      <c r="L277" s="58"/>
      <c r="M277" s="58"/>
      <c r="N277" s="58"/>
      <c r="O277" s="60"/>
      <c r="P277" s="58"/>
      <c r="Q277" s="58"/>
      <c r="R277" s="59"/>
      <c r="T277" s="182"/>
      <c r="U277" s="182"/>
    </row>
    <row r="278" spans="2:21" ht="9.75" customHeight="1" x14ac:dyDescent="0.4">
      <c r="C278" s="27"/>
      <c r="D278" s="64" t="s">
        <v>313</v>
      </c>
      <c r="E278" s="64"/>
      <c r="F278" s="63"/>
      <c r="G278" s="63"/>
      <c r="H278" s="63"/>
      <c r="I278" s="63"/>
      <c r="J278" s="63"/>
      <c r="K278" s="63"/>
      <c r="L278" s="63"/>
      <c r="M278" s="63"/>
      <c r="N278" s="63"/>
      <c r="O278" s="64"/>
      <c r="P278" s="63"/>
      <c r="Q278" s="63"/>
      <c r="R278" s="407"/>
      <c r="T278" s="182"/>
      <c r="U278" s="182"/>
    </row>
    <row r="279" spans="2:21" ht="9.75" customHeight="1" x14ac:dyDescent="0.4">
      <c r="B279" s="219" t="s">
        <v>395</v>
      </c>
      <c r="C279" s="125"/>
      <c r="D279" s="69" t="s">
        <v>314</v>
      </c>
      <c r="E279" s="408">
        <f t="shared" ref="E279:O279" si="40">SUM(E263:E278)</f>
        <v>91</v>
      </c>
      <c r="F279" s="409">
        <f t="shared" si="40"/>
        <v>43</v>
      </c>
      <c r="G279" s="409">
        <f t="shared" si="40"/>
        <v>34</v>
      </c>
      <c r="H279" s="409">
        <f t="shared" si="40"/>
        <v>32</v>
      </c>
      <c r="I279" s="409">
        <f t="shared" si="40"/>
        <v>29</v>
      </c>
      <c r="J279" s="409">
        <f t="shared" si="40"/>
        <v>28</v>
      </c>
      <c r="K279" s="409">
        <f t="shared" si="40"/>
        <v>30</v>
      </c>
      <c r="L279" s="409">
        <f t="shared" si="40"/>
        <v>31</v>
      </c>
      <c r="M279" s="409">
        <f t="shared" si="40"/>
        <v>34</v>
      </c>
      <c r="N279" s="409">
        <f t="shared" si="40"/>
        <v>42</v>
      </c>
      <c r="O279" s="408">
        <f t="shared" si="40"/>
        <v>58</v>
      </c>
      <c r="P279" s="409">
        <f>MIN(F279:O279)</f>
        <v>28</v>
      </c>
      <c r="Q279" s="409">
        <f>E279-P279</f>
        <v>63</v>
      </c>
      <c r="R279" s="410">
        <f>Q279/E279</f>
        <v>0.69230769230769229</v>
      </c>
      <c r="T279" s="182"/>
      <c r="U279" s="182"/>
    </row>
    <row r="280" spans="2:21" ht="9.75" customHeight="1" x14ac:dyDescent="0.4">
      <c r="C280" s="27" t="s">
        <v>228</v>
      </c>
      <c r="D280" s="60" t="s">
        <v>300</v>
      </c>
      <c r="E280" s="60"/>
      <c r="F280" s="58"/>
      <c r="G280" s="58"/>
      <c r="H280" s="58"/>
      <c r="I280" s="58"/>
      <c r="J280" s="58"/>
      <c r="K280" s="58"/>
      <c r="L280" s="58"/>
      <c r="M280" s="58"/>
      <c r="N280" s="58"/>
      <c r="O280" s="60"/>
      <c r="P280" s="58"/>
      <c r="Q280" s="58"/>
      <c r="R280" s="59"/>
      <c r="T280" s="182"/>
      <c r="U280" s="182"/>
    </row>
    <row r="281" spans="2:21" ht="9.75" customHeight="1" x14ac:dyDescent="0.4">
      <c r="C281" s="17"/>
      <c r="D281" s="60" t="s">
        <v>301</v>
      </c>
      <c r="E281" s="123">
        <v>99</v>
      </c>
      <c r="F281" s="74">
        <v>18</v>
      </c>
      <c r="G281" s="74">
        <v>10</v>
      </c>
      <c r="H281" s="74">
        <v>7</v>
      </c>
      <c r="I281" s="74">
        <v>5</v>
      </c>
      <c r="J281" s="74">
        <v>5</v>
      </c>
      <c r="K281" s="74">
        <v>5</v>
      </c>
      <c r="L281" s="74">
        <v>4</v>
      </c>
      <c r="M281" s="74">
        <v>17</v>
      </c>
      <c r="N281" s="74">
        <v>38</v>
      </c>
      <c r="O281" s="123">
        <v>51</v>
      </c>
      <c r="P281" s="74">
        <f>MIN(F281:O281)</f>
        <v>4</v>
      </c>
      <c r="Q281" s="74">
        <f>E281-P281</f>
        <v>95</v>
      </c>
      <c r="R281" s="75">
        <f>Q281/E281</f>
        <v>0.95959595959595956</v>
      </c>
      <c r="T281" s="182"/>
      <c r="U281" s="182"/>
    </row>
    <row r="282" spans="2:21" ht="9.75" customHeight="1" x14ac:dyDescent="0.4">
      <c r="C282" s="17"/>
      <c r="D282" s="60" t="s">
        <v>303</v>
      </c>
      <c r="E282" s="60"/>
      <c r="F282" s="58"/>
      <c r="G282" s="58"/>
      <c r="H282" s="58"/>
      <c r="I282" s="58"/>
      <c r="J282" s="58"/>
      <c r="K282" s="58"/>
      <c r="L282" s="58"/>
      <c r="M282" s="58"/>
      <c r="N282" s="58"/>
      <c r="O282" s="60"/>
      <c r="P282" s="58"/>
      <c r="Q282" s="58"/>
      <c r="R282" s="59"/>
      <c r="T282" s="182"/>
      <c r="U282" s="182"/>
    </row>
    <row r="283" spans="2:21" ht="9.75" customHeight="1" x14ac:dyDescent="0.4">
      <c r="C283" s="17"/>
      <c r="D283" s="60" t="s">
        <v>369</v>
      </c>
      <c r="E283" s="60"/>
      <c r="F283" s="58"/>
      <c r="G283" s="58"/>
      <c r="H283" s="58"/>
      <c r="I283" s="58"/>
      <c r="J283" s="58"/>
      <c r="K283" s="58"/>
      <c r="L283" s="58"/>
      <c r="M283" s="58"/>
      <c r="N283" s="58"/>
      <c r="O283" s="60"/>
      <c r="P283" s="58"/>
      <c r="Q283" s="58"/>
      <c r="R283" s="59"/>
      <c r="T283" s="182"/>
      <c r="U283" s="182"/>
    </row>
    <row r="284" spans="2:21" ht="9.75" customHeight="1" x14ac:dyDescent="0.4">
      <c r="C284" s="27"/>
      <c r="D284" s="60" t="s">
        <v>369</v>
      </c>
      <c r="E284" s="60"/>
      <c r="F284" s="58"/>
      <c r="G284" s="58"/>
      <c r="H284" s="58"/>
      <c r="I284" s="58"/>
      <c r="J284" s="58"/>
      <c r="K284" s="58"/>
      <c r="L284" s="58"/>
      <c r="M284" s="58"/>
      <c r="N284" s="58"/>
      <c r="O284" s="60"/>
      <c r="P284" s="58"/>
      <c r="Q284" s="58"/>
      <c r="R284" s="59"/>
      <c r="T284" s="182"/>
      <c r="U284" s="182"/>
    </row>
    <row r="285" spans="2:21" ht="9.75" customHeight="1" x14ac:dyDescent="0.4">
      <c r="C285" s="27"/>
      <c r="D285" s="60" t="s">
        <v>308</v>
      </c>
      <c r="E285" s="60"/>
      <c r="F285" s="58"/>
      <c r="G285" s="58"/>
      <c r="H285" s="58"/>
      <c r="I285" s="58"/>
      <c r="J285" s="58"/>
      <c r="K285" s="58"/>
      <c r="L285" s="58"/>
      <c r="M285" s="58"/>
      <c r="N285" s="58"/>
      <c r="O285" s="60"/>
      <c r="P285" s="58"/>
      <c r="Q285" s="58"/>
      <c r="R285" s="59"/>
      <c r="T285" s="182"/>
      <c r="U285" s="182"/>
    </row>
    <row r="286" spans="2:21" ht="9.75" customHeight="1" x14ac:dyDescent="0.4">
      <c r="C286" s="27"/>
      <c r="D286" s="60" t="s">
        <v>515</v>
      </c>
      <c r="E286" s="123">
        <v>1</v>
      </c>
      <c r="F286" s="74">
        <v>1</v>
      </c>
      <c r="G286" s="74">
        <v>1</v>
      </c>
      <c r="H286" s="74">
        <v>1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123">
        <v>0</v>
      </c>
      <c r="P286" s="74">
        <f>MIN(F286:O286)</f>
        <v>0</v>
      </c>
      <c r="Q286" s="74">
        <f>E286-P286</f>
        <v>1</v>
      </c>
      <c r="R286" s="75">
        <f>Q286/E286</f>
        <v>1</v>
      </c>
      <c r="T286" s="182"/>
      <c r="U286" s="182"/>
    </row>
    <row r="287" spans="2:21" ht="9.75" customHeight="1" x14ac:dyDescent="0.4">
      <c r="C287" s="27"/>
      <c r="D287" s="60" t="s">
        <v>374</v>
      </c>
      <c r="E287" s="60"/>
      <c r="F287" s="58"/>
      <c r="G287" s="58"/>
      <c r="H287" s="58"/>
      <c r="I287" s="58"/>
      <c r="J287" s="58"/>
      <c r="K287" s="58"/>
      <c r="L287" s="58"/>
      <c r="M287" s="58"/>
      <c r="N287" s="58"/>
      <c r="O287" s="60"/>
      <c r="P287" s="58"/>
      <c r="Q287" s="58"/>
      <c r="R287" s="59"/>
      <c r="T287" s="182"/>
      <c r="U287" s="182"/>
    </row>
    <row r="288" spans="2:21" ht="9.75" customHeight="1" x14ac:dyDescent="0.4">
      <c r="C288" s="27"/>
      <c r="D288" s="60" t="s">
        <v>374</v>
      </c>
      <c r="E288" s="60"/>
      <c r="F288" s="58"/>
      <c r="G288" s="58"/>
      <c r="H288" s="58"/>
      <c r="I288" s="58"/>
      <c r="J288" s="58"/>
      <c r="K288" s="58"/>
      <c r="L288" s="58"/>
      <c r="M288" s="58"/>
      <c r="N288" s="58"/>
      <c r="O288" s="60"/>
      <c r="P288" s="58"/>
      <c r="Q288" s="58"/>
      <c r="R288" s="59"/>
      <c r="T288" s="182"/>
      <c r="U288" s="182"/>
    </row>
    <row r="289" spans="2:21" ht="9.75" customHeight="1" x14ac:dyDescent="0.4">
      <c r="C289" s="27"/>
      <c r="D289" s="60" t="s">
        <v>374</v>
      </c>
      <c r="E289" s="60"/>
      <c r="F289" s="58"/>
      <c r="G289" s="58"/>
      <c r="H289" s="58"/>
      <c r="I289" s="58"/>
      <c r="J289" s="58"/>
      <c r="K289" s="58"/>
      <c r="L289" s="58"/>
      <c r="M289" s="58"/>
      <c r="N289" s="58"/>
      <c r="O289" s="60"/>
      <c r="P289" s="58"/>
      <c r="Q289" s="58"/>
      <c r="R289" s="59"/>
      <c r="T289" s="182"/>
      <c r="U289" s="182"/>
    </row>
    <row r="290" spans="2:21" ht="9.75" customHeight="1" x14ac:dyDescent="0.4">
      <c r="C290" s="27"/>
      <c r="D290" s="60" t="s">
        <v>374</v>
      </c>
      <c r="E290" s="60"/>
      <c r="F290" s="58"/>
      <c r="G290" s="58"/>
      <c r="H290" s="58"/>
      <c r="I290" s="58"/>
      <c r="J290" s="58"/>
      <c r="K290" s="58"/>
      <c r="L290" s="58"/>
      <c r="M290" s="58"/>
      <c r="N290" s="58"/>
      <c r="O290" s="60"/>
      <c r="P290" s="58"/>
      <c r="Q290" s="58"/>
      <c r="R290" s="59"/>
      <c r="T290" s="182"/>
      <c r="U290" s="182"/>
    </row>
    <row r="291" spans="2:21" ht="9.75" customHeight="1" x14ac:dyDescent="0.4">
      <c r="C291" s="27"/>
      <c r="D291" s="60" t="s">
        <v>374</v>
      </c>
      <c r="E291" s="60"/>
      <c r="F291" s="58"/>
      <c r="G291" s="58"/>
      <c r="H291" s="58"/>
      <c r="I291" s="58"/>
      <c r="J291" s="58"/>
      <c r="K291" s="58"/>
      <c r="L291" s="58"/>
      <c r="M291" s="58"/>
      <c r="N291" s="58"/>
      <c r="O291" s="60"/>
      <c r="P291" s="58"/>
      <c r="Q291" s="58"/>
      <c r="R291" s="59"/>
      <c r="T291" s="182"/>
      <c r="U291" s="182"/>
    </row>
    <row r="292" spans="2:21" ht="9.75" customHeight="1" x14ac:dyDescent="0.4">
      <c r="C292" s="27"/>
      <c r="D292" s="60" t="s">
        <v>310</v>
      </c>
      <c r="E292" s="60"/>
      <c r="F292" s="58"/>
      <c r="G292" s="58"/>
      <c r="H292" s="58"/>
      <c r="I292" s="58"/>
      <c r="J292" s="58"/>
      <c r="K292" s="58"/>
      <c r="L292" s="58"/>
      <c r="M292" s="58"/>
      <c r="N292" s="58"/>
      <c r="O292" s="60"/>
      <c r="P292" s="58"/>
      <c r="Q292" s="58"/>
      <c r="R292" s="59"/>
      <c r="T292" s="182"/>
      <c r="U292" s="182"/>
    </row>
    <row r="293" spans="2:21" ht="9.75" customHeight="1" x14ac:dyDescent="0.4">
      <c r="C293" s="27"/>
      <c r="D293" s="60" t="s">
        <v>311</v>
      </c>
      <c r="E293" s="60"/>
      <c r="F293" s="58"/>
      <c r="G293" s="58"/>
      <c r="H293" s="58"/>
      <c r="I293" s="58"/>
      <c r="J293" s="58"/>
      <c r="K293" s="58"/>
      <c r="L293" s="58"/>
      <c r="M293" s="58"/>
      <c r="N293" s="58"/>
      <c r="O293" s="60"/>
      <c r="P293" s="58"/>
      <c r="Q293" s="58"/>
      <c r="R293" s="59"/>
      <c r="T293" s="182"/>
      <c r="U293" s="182"/>
    </row>
    <row r="294" spans="2:21" ht="9.75" customHeight="1" x14ac:dyDescent="0.4">
      <c r="C294" s="27"/>
      <c r="D294" s="60" t="s">
        <v>312</v>
      </c>
      <c r="E294" s="60"/>
      <c r="F294" s="58"/>
      <c r="G294" s="58"/>
      <c r="H294" s="58"/>
      <c r="I294" s="58"/>
      <c r="J294" s="58"/>
      <c r="K294" s="58"/>
      <c r="L294" s="58"/>
      <c r="M294" s="58"/>
      <c r="N294" s="58"/>
      <c r="O294" s="60"/>
      <c r="P294" s="58"/>
      <c r="Q294" s="58"/>
      <c r="R294" s="59"/>
      <c r="T294" s="182"/>
      <c r="U294" s="182"/>
    </row>
    <row r="295" spans="2:21" ht="9.75" customHeight="1" x14ac:dyDescent="0.4">
      <c r="C295" s="27"/>
      <c r="D295" s="64" t="s">
        <v>313</v>
      </c>
      <c r="E295" s="64"/>
      <c r="F295" s="63"/>
      <c r="G295" s="63"/>
      <c r="H295" s="63"/>
      <c r="I295" s="63"/>
      <c r="J295" s="63"/>
      <c r="K295" s="63"/>
      <c r="L295" s="63"/>
      <c r="M295" s="63"/>
      <c r="N295" s="63"/>
      <c r="O295" s="64"/>
      <c r="P295" s="63"/>
      <c r="Q295" s="63"/>
      <c r="R295" s="407"/>
      <c r="T295" s="182"/>
      <c r="U295" s="182"/>
    </row>
    <row r="296" spans="2:21" ht="9.75" customHeight="1" x14ac:dyDescent="0.4">
      <c r="B296" s="219" t="s">
        <v>395</v>
      </c>
      <c r="C296" s="125"/>
      <c r="D296" s="69" t="s">
        <v>314</v>
      </c>
      <c r="E296" s="408">
        <f t="shared" ref="E296:O296" si="41">SUM(E280:E295)</f>
        <v>100</v>
      </c>
      <c r="F296" s="409">
        <f t="shared" si="41"/>
        <v>19</v>
      </c>
      <c r="G296" s="409">
        <f t="shared" si="41"/>
        <v>11</v>
      </c>
      <c r="H296" s="409">
        <f t="shared" si="41"/>
        <v>8</v>
      </c>
      <c r="I296" s="409">
        <f t="shared" si="41"/>
        <v>5</v>
      </c>
      <c r="J296" s="409">
        <f t="shared" si="41"/>
        <v>5</v>
      </c>
      <c r="K296" s="409">
        <f t="shared" si="41"/>
        <v>5</v>
      </c>
      <c r="L296" s="409">
        <f t="shared" si="41"/>
        <v>4</v>
      </c>
      <c r="M296" s="409">
        <f t="shared" si="41"/>
        <v>17</v>
      </c>
      <c r="N296" s="409">
        <f t="shared" si="41"/>
        <v>38</v>
      </c>
      <c r="O296" s="408">
        <f t="shared" si="41"/>
        <v>51</v>
      </c>
      <c r="P296" s="409">
        <f>MIN(F296:O296)</f>
        <v>4</v>
      </c>
      <c r="Q296" s="409">
        <f>E296-P296</f>
        <v>96</v>
      </c>
      <c r="R296" s="410">
        <f>Q296/E296</f>
        <v>0.96</v>
      </c>
      <c r="T296" s="182"/>
      <c r="U296" s="182"/>
    </row>
    <row r="297" spans="2:21" ht="9.75" customHeight="1" x14ac:dyDescent="0.4">
      <c r="C297" s="27" t="s">
        <v>229</v>
      </c>
      <c r="D297" s="60" t="s">
        <v>300</v>
      </c>
      <c r="E297" s="60"/>
      <c r="F297" s="58"/>
      <c r="G297" s="58"/>
      <c r="H297" s="58"/>
      <c r="I297" s="58"/>
      <c r="J297" s="58"/>
      <c r="K297" s="58"/>
      <c r="L297" s="58"/>
      <c r="M297" s="58"/>
      <c r="N297" s="58"/>
      <c r="O297" s="60"/>
      <c r="P297" s="58"/>
      <c r="Q297" s="58"/>
      <c r="R297" s="59"/>
      <c r="T297" s="182"/>
      <c r="U297" s="182"/>
    </row>
    <row r="298" spans="2:21" ht="9.75" customHeight="1" x14ac:dyDescent="0.4">
      <c r="C298" s="17"/>
      <c r="D298" s="60" t="s">
        <v>301</v>
      </c>
      <c r="E298" s="123">
        <v>103</v>
      </c>
      <c r="F298" s="74">
        <v>83</v>
      </c>
      <c r="G298" s="74">
        <v>53</v>
      </c>
      <c r="H298" s="74">
        <v>23</v>
      </c>
      <c r="I298" s="74">
        <v>24</v>
      </c>
      <c r="J298" s="74">
        <v>19</v>
      </c>
      <c r="K298" s="74">
        <v>19</v>
      </c>
      <c r="L298" s="74">
        <v>21</v>
      </c>
      <c r="M298" s="74">
        <v>23</v>
      </c>
      <c r="N298" s="74">
        <v>33</v>
      </c>
      <c r="O298" s="123">
        <v>57</v>
      </c>
      <c r="P298" s="74">
        <f>MIN(F298:O298)</f>
        <v>19</v>
      </c>
      <c r="Q298" s="74">
        <f>E298-P298</f>
        <v>84</v>
      </c>
      <c r="R298" s="75">
        <f>Q298/E298</f>
        <v>0.81553398058252424</v>
      </c>
      <c r="T298" s="182"/>
      <c r="U298" s="182"/>
    </row>
    <row r="299" spans="2:21" ht="9.75" customHeight="1" x14ac:dyDescent="0.4">
      <c r="C299" s="17"/>
      <c r="D299" s="60" t="s">
        <v>303</v>
      </c>
      <c r="E299" s="60"/>
      <c r="F299" s="58"/>
      <c r="G299" s="58"/>
      <c r="H299" s="58"/>
      <c r="I299" s="58"/>
      <c r="J299" s="58"/>
      <c r="K299" s="58"/>
      <c r="L299" s="58"/>
      <c r="M299" s="58"/>
      <c r="N299" s="58"/>
      <c r="O299" s="60"/>
      <c r="P299" s="58"/>
      <c r="Q299" s="58"/>
      <c r="R299" s="59"/>
      <c r="T299" s="182"/>
      <c r="U299" s="182"/>
    </row>
    <row r="300" spans="2:21" ht="9.75" customHeight="1" x14ac:dyDescent="0.4">
      <c r="C300" s="17"/>
      <c r="D300" s="60" t="s">
        <v>369</v>
      </c>
      <c r="E300" s="60"/>
      <c r="F300" s="58"/>
      <c r="G300" s="58"/>
      <c r="H300" s="58"/>
      <c r="I300" s="58"/>
      <c r="J300" s="58"/>
      <c r="K300" s="58"/>
      <c r="L300" s="58"/>
      <c r="M300" s="58"/>
      <c r="N300" s="58"/>
      <c r="O300" s="60"/>
      <c r="P300" s="58"/>
      <c r="Q300" s="58"/>
      <c r="R300" s="59"/>
      <c r="T300" s="182"/>
      <c r="U300" s="182"/>
    </row>
    <row r="301" spans="2:21" ht="9.75" customHeight="1" x14ac:dyDescent="0.4">
      <c r="C301" s="27"/>
      <c r="D301" s="60" t="s">
        <v>369</v>
      </c>
      <c r="E301" s="60"/>
      <c r="F301" s="58"/>
      <c r="G301" s="58"/>
      <c r="H301" s="58"/>
      <c r="I301" s="58"/>
      <c r="J301" s="58"/>
      <c r="K301" s="58"/>
      <c r="L301" s="58"/>
      <c r="M301" s="58"/>
      <c r="N301" s="58"/>
      <c r="O301" s="60"/>
      <c r="P301" s="58"/>
      <c r="Q301" s="58"/>
      <c r="R301" s="59"/>
      <c r="T301" s="182"/>
      <c r="U301" s="182"/>
    </row>
    <row r="302" spans="2:21" ht="9.75" customHeight="1" x14ac:dyDescent="0.4">
      <c r="C302" s="27"/>
      <c r="D302" s="60" t="s">
        <v>308</v>
      </c>
      <c r="E302" s="60"/>
      <c r="F302" s="58"/>
      <c r="G302" s="58"/>
      <c r="H302" s="58"/>
      <c r="I302" s="58"/>
      <c r="J302" s="58"/>
      <c r="K302" s="58"/>
      <c r="L302" s="58"/>
      <c r="M302" s="58"/>
      <c r="N302" s="58"/>
      <c r="O302" s="60"/>
      <c r="P302" s="58"/>
      <c r="Q302" s="58"/>
      <c r="R302" s="59"/>
      <c r="T302" s="182"/>
      <c r="U302" s="182"/>
    </row>
    <row r="303" spans="2:21" ht="9.75" customHeight="1" x14ac:dyDescent="0.4">
      <c r="C303" s="27"/>
      <c r="D303" s="60" t="s">
        <v>374</v>
      </c>
      <c r="E303" s="60"/>
      <c r="F303" s="58"/>
      <c r="G303" s="58"/>
      <c r="H303" s="58"/>
      <c r="I303" s="58"/>
      <c r="J303" s="58"/>
      <c r="K303" s="58"/>
      <c r="L303" s="58"/>
      <c r="M303" s="58"/>
      <c r="N303" s="58"/>
      <c r="O303" s="60"/>
      <c r="P303" s="58"/>
      <c r="Q303" s="58"/>
      <c r="R303" s="59"/>
      <c r="T303" s="182"/>
      <c r="U303" s="182"/>
    </row>
    <row r="304" spans="2:21" ht="9.75" customHeight="1" x14ac:dyDescent="0.4">
      <c r="C304" s="27"/>
      <c r="D304" s="60" t="s">
        <v>374</v>
      </c>
      <c r="E304" s="60"/>
      <c r="F304" s="58"/>
      <c r="G304" s="58"/>
      <c r="H304" s="58"/>
      <c r="I304" s="58"/>
      <c r="J304" s="58"/>
      <c r="K304" s="58"/>
      <c r="L304" s="58"/>
      <c r="M304" s="58"/>
      <c r="N304" s="58"/>
      <c r="O304" s="60"/>
      <c r="P304" s="58"/>
      <c r="Q304" s="58"/>
      <c r="R304" s="59"/>
      <c r="T304" s="182"/>
      <c r="U304" s="182"/>
    </row>
    <row r="305" spans="2:21" ht="9.75" customHeight="1" x14ac:dyDescent="0.4">
      <c r="C305" s="27"/>
      <c r="D305" s="60" t="s">
        <v>374</v>
      </c>
      <c r="E305" s="60"/>
      <c r="F305" s="58"/>
      <c r="G305" s="58"/>
      <c r="H305" s="58"/>
      <c r="I305" s="58"/>
      <c r="J305" s="58"/>
      <c r="K305" s="58"/>
      <c r="L305" s="58"/>
      <c r="M305" s="58"/>
      <c r="N305" s="58"/>
      <c r="O305" s="60"/>
      <c r="P305" s="58"/>
      <c r="Q305" s="58"/>
      <c r="R305" s="59"/>
      <c r="T305" s="182"/>
      <c r="U305" s="182"/>
    </row>
    <row r="306" spans="2:21" ht="9.75" customHeight="1" x14ac:dyDescent="0.4">
      <c r="C306" s="27"/>
      <c r="D306" s="60" t="s">
        <v>374</v>
      </c>
      <c r="E306" s="60"/>
      <c r="F306" s="58"/>
      <c r="G306" s="58"/>
      <c r="H306" s="58"/>
      <c r="I306" s="58"/>
      <c r="J306" s="58"/>
      <c r="K306" s="58"/>
      <c r="L306" s="58"/>
      <c r="M306" s="58"/>
      <c r="N306" s="58"/>
      <c r="O306" s="60"/>
      <c r="P306" s="58"/>
      <c r="Q306" s="58"/>
      <c r="R306" s="59"/>
      <c r="T306" s="182"/>
      <c r="U306" s="182"/>
    </row>
    <row r="307" spans="2:21" ht="9.75" customHeight="1" x14ac:dyDescent="0.4">
      <c r="C307" s="27"/>
      <c r="D307" s="60" t="s">
        <v>374</v>
      </c>
      <c r="E307" s="60"/>
      <c r="F307" s="58"/>
      <c r="G307" s="58"/>
      <c r="H307" s="58"/>
      <c r="I307" s="58"/>
      <c r="J307" s="58"/>
      <c r="K307" s="58"/>
      <c r="L307" s="58"/>
      <c r="M307" s="58"/>
      <c r="N307" s="58"/>
      <c r="O307" s="60"/>
      <c r="P307" s="58"/>
      <c r="Q307" s="58"/>
      <c r="R307" s="59"/>
      <c r="T307" s="182"/>
      <c r="U307" s="182"/>
    </row>
    <row r="308" spans="2:21" ht="9.75" customHeight="1" x14ac:dyDescent="0.4">
      <c r="C308" s="27"/>
      <c r="D308" s="60" t="s">
        <v>374</v>
      </c>
      <c r="E308" s="60"/>
      <c r="F308" s="58"/>
      <c r="G308" s="58"/>
      <c r="H308" s="58"/>
      <c r="I308" s="58"/>
      <c r="J308" s="58"/>
      <c r="K308" s="58"/>
      <c r="L308" s="58"/>
      <c r="M308" s="58"/>
      <c r="N308" s="58"/>
      <c r="O308" s="60"/>
      <c r="P308" s="58"/>
      <c r="Q308" s="58"/>
      <c r="R308" s="59"/>
      <c r="T308" s="182"/>
      <c r="U308" s="182"/>
    </row>
    <row r="309" spans="2:21" ht="9.75" customHeight="1" x14ac:dyDescent="0.4">
      <c r="C309" s="27"/>
      <c r="D309" s="60" t="s">
        <v>310</v>
      </c>
      <c r="E309" s="60"/>
      <c r="F309" s="58"/>
      <c r="G309" s="58"/>
      <c r="H309" s="58"/>
      <c r="I309" s="58"/>
      <c r="J309" s="58"/>
      <c r="K309" s="58"/>
      <c r="L309" s="58"/>
      <c r="M309" s="58"/>
      <c r="N309" s="58"/>
      <c r="O309" s="60"/>
      <c r="P309" s="58"/>
      <c r="Q309" s="58"/>
      <c r="R309" s="59"/>
      <c r="T309" s="182"/>
      <c r="U309" s="182"/>
    </row>
    <row r="310" spans="2:21" ht="9.75" customHeight="1" x14ac:dyDescent="0.4">
      <c r="C310" s="27"/>
      <c r="D310" s="60" t="s">
        <v>311</v>
      </c>
      <c r="E310" s="60"/>
      <c r="F310" s="58"/>
      <c r="G310" s="58"/>
      <c r="H310" s="58"/>
      <c r="I310" s="58"/>
      <c r="J310" s="58"/>
      <c r="K310" s="58"/>
      <c r="L310" s="58"/>
      <c r="M310" s="58"/>
      <c r="N310" s="58"/>
      <c r="O310" s="60"/>
      <c r="P310" s="58"/>
      <c r="Q310" s="58"/>
      <c r="R310" s="59"/>
      <c r="T310" s="182"/>
      <c r="U310" s="182"/>
    </row>
    <row r="311" spans="2:21" ht="9.75" customHeight="1" x14ac:dyDescent="0.4">
      <c r="C311" s="27"/>
      <c r="D311" s="60" t="s">
        <v>312</v>
      </c>
      <c r="E311" s="60"/>
      <c r="F311" s="58"/>
      <c r="G311" s="58"/>
      <c r="H311" s="58"/>
      <c r="I311" s="58"/>
      <c r="J311" s="58"/>
      <c r="K311" s="58"/>
      <c r="L311" s="58"/>
      <c r="M311" s="58"/>
      <c r="N311" s="58"/>
      <c r="O311" s="60"/>
      <c r="P311" s="58"/>
      <c r="Q311" s="58"/>
      <c r="R311" s="59"/>
      <c r="T311" s="182"/>
      <c r="U311" s="182"/>
    </row>
    <row r="312" spans="2:21" ht="9.75" customHeight="1" x14ac:dyDescent="0.4">
      <c r="C312" s="27"/>
      <c r="D312" s="64" t="s">
        <v>313</v>
      </c>
      <c r="E312" s="64"/>
      <c r="F312" s="63"/>
      <c r="G312" s="63"/>
      <c r="H312" s="63"/>
      <c r="I312" s="63"/>
      <c r="J312" s="63"/>
      <c r="K312" s="63"/>
      <c r="L312" s="63"/>
      <c r="M312" s="63"/>
      <c r="N312" s="63"/>
      <c r="O312" s="64"/>
      <c r="P312" s="63"/>
      <c r="Q312" s="63"/>
      <c r="R312" s="407"/>
      <c r="T312" s="182"/>
      <c r="U312" s="182"/>
    </row>
    <row r="313" spans="2:21" ht="9.75" customHeight="1" x14ac:dyDescent="0.4">
      <c r="B313" s="219" t="s">
        <v>395</v>
      </c>
      <c r="C313" s="125"/>
      <c r="D313" s="69" t="s">
        <v>314</v>
      </c>
      <c r="E313" s="408">
        <f t="shared" ref="E313:O313" si="42">SUM(E297:E312)</f>
        <v>103</v>
      </c>
      <c r="F313" s="409">
        <f t="shared" si="42"/>
        <v>83</v>
      </c>
      <c r="G313" s="409">
        <f t="shared" si="42"/>
        <v>53</v>
      </c>
      <c r="H313" s="409">
        <f t="shared" si="42"/>
        <v>23</v>
      </c>
      <c r="I313" s="409">
        <f t="shared" si="42"/>
        <v>24</v>
      </c>
      <c r="J313" s="409">
        <f t="shared" si="42"/>
        <v>19</v>
      </c>
      <c r="K313" s="409">
        <f t="shared" si="42"/>
        <v>19</v>
      </c>
      <c r="L313" s="409">
        <f t="shared" si="42"/>
        <v>21</v>
      </c>
      <c r="M313" s="409">
        <f t="shared" si="42"/>
        <v>23</v>
      </c>
      <c r="N313" s="409">
        <f t="shared" si="42"/>
        <v>33</v>
      </c>
      <c r="O313" s="408">
        <f t="shared" si="42"/>
        <v>57</v>
      </c>
      <c r="P313" s="409">
        <f>MIN(F313:O313)</f>
        <v>19</v>
      </c>
      <c r="Q313" s="409">
        <f>E313-P313</f>
        <v>84</v>
      </c>
      <c r="R313" s="410">
        <f>Q313/E313</f>
        <v>0.81553398058252424</v>
      </c>
      <c r="T313" s="182"/>
      <c r="U313" s="182"/>
    </row>
    <row r="314" spans="2:21" ht="9.75" customHeight="1" x14ac:dyDescent="0.4">
      <c r="C314" s="27" t="s">
        <v>230</v>
      </c>
      <c r="D314" s="60" t="s">
        <v>300</v>
      </c>
      <c r="E314" s="60"/>
      <c r="F314" s="58"/>
      <c r="G314" s="58"/>
      <c r="H314" s="58"/>
      <c r="I314" s="58"/>
      <c r="J314" s="58"/>
      <c r="K314" s="58"/>
      <c r="L314" s="58"/>
      <c r="M314" s="58"/>
      <c r="N314" s="58"/>
      <c r="O314" s="60"/>
      <c r="P314" s="58"/>
      <c r="Q314" s="58"/>
      <c r="R314" s="59"/>
      <c r="T314" s="182"/>
      <c r="U314" s="182"/>
    </row>
    <row r="315" spans="2:21" ht="9.75" customHeight="1" x14ac:dyDescent="0.4">
      <c r="C315" s="17"/>
      <c r="D315" s="60" t="s">
        <v>301</v>
      </c>
      <c r="E315" s="123">
        <v>175</v>
      </c>
      <c r="F315" s="74">
        <v>75</v>
      </c>
      <c r="G315" s="74">
        <v>55</v>
      </c>
      <c r="H315" s="74">
        <v>41</v>
      </c>
      <c r="I315" s="74">
        <v>55</v>
      </c>
      <c r="J315" s="74">
        <v>65</v>
      </c>
      <c r="K315" s="74">
        <v>66</v>
      </c>
      <c r="L315" s="74">
        <v>67</v>
      </c>
      <c r="M315" s="74">
        <v>53</v>
      </c>
      <c r="N315" s="74">
        <v>87</v>
      </c>
      <c r="O315" s="123">
        <v>112</v>
      </c>
      <c r="P315" s="74">
        <f>MIN(F315:O315)</f>
        <v>41</v>
      </c>
      <c r="Q315" s="74">
        <f>E315-P315</f>
        <v>134</v>
      </c>
      <c r="R315" s="75">
        <f>Q315/E315</f>
        <v>0.76571428571428568</v>
      </c>
      <c r="T315" s="182"/>
      <c r="U315" s="182"/>
    </row>
    <row r="316" spans="2:21" ht="9.75" customHeight="1" x14ac:dyDescent="0.4">
      <c r="C316" s="17"/>
      <c r="D316" s="60" t="s">
        <v>303</v>
      </c>
      <c r="E316" s="60"/>
      <c r="F316" s="58"/>
      <c r="G316" s="58"/>
      <c r="H316" s="58"/>
      <c r="I316" s="58"/>
      <c r="J316" s="58"/>
      <c r="K316" s="58"/>
      <c r="L316" s="58"/>
      <c r="M316" s="58"/>
      <c r="N316" s="58"/>
      <c r="O316" s="60"/>
      <c r="P316" s="58"/>
      <c r="Q316" s="58"/>
      <c r="R316" s="59"/>
      <c r="T316" s="182"/>
      <c r="U316" s="182"/>
    </row>
    <row r="317" spans="2:21" ht="9.75" customHeight="1" x14ac:dyDescent="0.4">
      <c r="C317" s="17"/>
      <c r="D317" s="60" t="s">
        <v>369</v>
      </c>
      <c r="E317" s="60"/>
      <c r="F317" s="58"/>
      <c r="G317" s="58"/>
      <c r="H317" s="58"/>
      <c r="I317" s="58"/>
      <c r="J317" s="58"/>
      <c r="K317" s="58"/>
      <c r="L317" s="58"/>
      <c r="M317" s="58"/>
      <c r="N317" s="58"/>
      <c r="O317" s="60"/>
      <c r="P317" s="58"/>
      <c r="Q317" s="58"/>
      <c r="R317" s="59"/>
      <c r="T317" s="182"/>
      <c r="U317" s="182"/>
    </row>
    <row r="318" spans="2:21" ht="9.75" customHeight="1" x14ac:dyDescent="0.4">
      <c r="C318" s="27"/>
      <c r="D318" s="60" t="s">
        <v>369</v>
      </c>
      <c r="E318" s="60"/>
      <c r="F318" s="58"/>
      <c r="G318" s="58"/>
      <c r="H318" s="58"/>
      <c r="I318" s="58"/>
      <c r="J318" s="58"/>
      <c r="K318" s="58"/>
      <c r="L318" s="58"/>
      <c r="M318" s="58"/>
      <c r="N318" s="58"/>
      <c r="O318" s="60"/>
      <c r="P318" s="58"/>
      <c r="Q318" s="58"/>
      <c r="R318" s="59"/>
      <c r="T318" s="182"/>
      <c r="U318" s="182"/>
    </row>
    <row r="319" spans="2:21" ht="9.75" customHeight="1" x14ac:dyDescent="0.4">
      <c r="C319" s="27"/>
      <c r="D319" s="60" t="s">
        <v>308</v>
      </c>
      <c r="E319" s="60"/>
      <c r="F319" s="58"/>
      <c r="G319" s="58"/>
      <c r="H319" s="58"/>
      <c r="I319" s="58"/>
      <c r="J319" s="58"/>
      <c r="K319" s="58"/>
      <c r="L319" s="58"/>
      <c r="M319" s="58"/>
      <c r="N319" s="58"/>
      <c r="O319" s="60"/>
      <c r="P319" s="58"/>
      <c r="Q319" s="58"/>
      <c r="R319" s="59"/>
      <c r="T319" s="182"/>
      <c r="U319" s="182"/>
    </row>
    <row r="320" spans="2:21" ht="9.75" customHeight="1" x14ac:dyDescent="0.4">
      <c r="C320" s="27"/>
      <c r="D320" s="60" t="s">
        <v>374</v>
      </c>
      <c r="E320" s="60"/>
      <c r="F320" s="58"/>
      <c r="G320" s="58"/>
      <c r="H320" s="58"/>
      <c r="I320" s="58"/>
      <c r="J320" s="58"/>
      <c r="K320" s="58"/>
      <c r="L320" s="58"/>
      <c r="M320" s="58"/>
      <c r="N320" s="58"/>
      <c r="O320" s="60"/>
      <c r="P320" s="58"/>
      <c r="Q320" s="58"/>
      <c r="R320" s="59"/>
      <c r="T320" s="182"/>
      <c r="U320" s="182"/>
    </row>
    <row r="321" spans="2:21" ht="9.75" customHeight="1" x14ac:dyDescent="0.4">
      <c r="C321" s="27"/>
      <c r="D321" s="60" t="s">
        <v>374</v>
      </c>
      <c r="E321" s="60"/>
      <c r="F321" s="58"/>
      <c r="G321" s="58"/>
      <c r="H321" s="58"/>
      <c r="I321" s="58"/>
      <c r="J321" s="58"/>
      <c r="K321" s="58"/>
      <c r="L321" s="58"/>
      <c r="M321" s="58"/>
      <c r="N321" s="58"/>
      <c r="O321" s="60"/>
      <c r="P321" s="58"/>
      <c r="Q321" s="58"/>
      <c r="R321" s="59"/>
      <c r="T321" s="182"/>
      <c r="U321" s="182"/>
    </row>
    <row r="322" spans="2:21" ht="9.75" customHeight="1" x14ac:dyDescent="0.4">
      <c r="C322" s="27"/>
      <c r="D322" s="60" t="s">
        <v>374</v>
      </c>
      <c r="E322" s="60"/>
      <c r="F322" s="58"/>
      <c r="G322" s="58"/>
      <c r="H322" s="58"/>
      <c r="I322" s="58"/>
      <c r="J322" s="58"/>
      <c r="K322" s="58"/>
      <c r="L322" s="58"/>
      <c r="M322" s="58"/>
      <c r="N322" s="58"/>
      <c r="O322" s="60"/>
      <c r="P322" s="58"/>
      <c r="Q322" s="58"/>
      <c r="R322" s="59"/>
      <c r="T322" s="182"/>
      <c r="U322" s="182"/>
    </row>
    <row r="323" spans="2:21" ht="9.75" customHeight="1" x14ac:dyDescent="0.4">
      <c r="C323" s="27"/>
      <c r="D323" s="60" t="s">
        <v>374</v>
      </c>
      <c r="E323" s="60"/>
      <c r="F323" s="58"/>
      <c r="G323" s="58"/>
      <c r="H323" s="58"/>
      <c r="I323" s="58"/>
      <c r="J323" s="58"/>
      <c r="K323" s="58"/>
      <c r="L323" s="58"/>
      <c r="M323" s="58"/>
      <c r="N323" s="58"/>
      <c r="O323" s="60"/>
      <c r="P323" s="58"/>
      <c r="Q323" s="58"/>
      <c r="R323" s="59"/>
      <c r="T323" s="182"/>
      <c r="U323" s="182"/>
    </row>
    <row r="324" spans="2:21" ht="9.75" customHeight="1" x14ac:dyDescent="0.4">
      <c r="C324" s="27"/>
      <c r="D324" s="60" t="s">
        <v>374</v>
      </c>
      <c r="E324" s="60"/>
      <c r="F324" s="58"/>
      <c r="G324" s="58"/>
      <c r="H324" s="58"/>
      <c r="I324" s="58"/>
      <c r="J324" s="58"/>
      <c r="K324" s="58"/>
      <c r="L324" s="58"/>
      <c r="M324" s="58"/>
      <c r="N324" s="58"/>
      <c r="O324" s="60"/>
      <c r="P324" s="58"/>
      <c r="Q324" s="58"/>
      <c r="R324" s="59"/>
      <c r="T324" s="182"/>
      <c r="U324" s="182"/>
    </row>
    <row r="325" spans="2:21" ht="9.75" customHeight="1" x14ac:dyDescent="0.4">
      <c r="C325" s="27"/>
      <c r="D325" s="60" t="s">
        <v>374</v>
      </c>
      <c r="E325" s="60"/>
      <c r="F325" s="58"/>
      <c r="G325" s="58"/>
      <c r="H325" s="58"/>
      <c r="I325" s="58"/>
      <c r="J325" s="58"/>
      <c r="K325" s="58"/>
      <c r="L325" s="58"/>
      <c r="M325" s="58"/>
      <c r="N325" s="58"/>
      <c r="O325" s="60"/>
      <c r="P325" s="58"/>
      <c r="Q325" s="58"/>
      <c r="R325" s="59"/>
      <c r="T325" s="182"/>
      <c r="U325" s="182"/>
    </row>
    <row r="326" spans="2:21" ht="9.75" customHeight="1" x14ac:dyDescent="0.4">
      <c r="C326" s="27"/>
      <c r="D326" s="60" t="s">
        <v>310</v>
      </c>
      <c r="E326" s="60"/>
      <c r="F326" s="58"/>
      <c r="G326" s="58"/>
      <c r="H326" s="58"/>
      <c r="I326" s="58"/>
      <c r="J326" s="58"/>
      <c r="K326" s="58"/>
      <c r="L326" s="58"/>
      <c r="M326" s="58"/>
      <c r="N326" s="58"/>
      <c r="O326" s="60"/>
      <c r="P326" s="58"/>
      <c r="Q326" s="58"/>
      <c r="R326" s="59"/>
      <c r="T326" s="182"/>
      <c r="U326" s="182"/>
    </row>
    <row r="327" spans="2:21" ht="9.75" customHeight="1" x14ac:dyDescent="0.4">
      <c r="C327" s="27"/>
      <c r="D327" s="60" t="s">
        <v>311</v>
      </c>
      <c r="E327" s="60"/>
      <c r="F327" s="58"/>
      <c r="G327" s="58"/>
      <c r="H327" s="58"/>
      <c r="I327" s="58"/>
      <c r="J327" s="58"/>
      <c r="K327" s="58"/>
      <c r="L327" s="58"/>
      <c r="M327" s="58"/>
      <c r="N327" s="58"/>
      <c r="O327" s="60"/>
      <c r="P327" s="58"/>
      <c r="Q327" s="58"/>
      <c r="R327" s="59"/>
      <c r="T327" s="182"/>
      <c r="U327" s="182"/>
    </row>
    <row r="328" spans="2:21" ht="9.75" customHeight="1" x14ac:dyDescent="0.4">
      <c r="C328" s="27"/>
      <c r="D328" s="60" t="s">
        <v>312</v>
      </c>
      <c r="E328" s="60"/>
      <c r="F328" s="58"/>
      <c r="G328" s="58"/>
      <c r="H328" s="58"/>
      <c r="I328" s="58"/>
      <c r="J328" s="58"/>
      <c r="K328" s="58"/>
      <c r="L328" s="58"/>
      <c r="M328" s="58"/>
      <c r="N328" s="58"/>
      <c r="O328" s="60"/>
      <c r="P328" s="58"/>
      <c r="Q328" s="58"/>
      <c r="R328" s="59"/>
      <c r="T328" s="182"/>
      <c r="U328" s="182"/>
    </row>
    <row r="329" spans="2:21" ht="9.75" customHeight="1" x14ac:dyDescent="0.4">
      <c r="C329" s="27"/>
      <c r="D329" s="64" t="s">
        <v>313</v>
      </c>
      <c r="E329" s="64"/>
      <c r="F329" s="63"/>
      <c r="G329" s="63"/>
      <c r="H329" s="63"/>
      <c r="I329" s="63"/>
      <c r="J329" s="63"/>
      <c r="K329" s="63"/>
      <c r="L329" s="63"/>
      <c r="M329" s="63"/>
      <c r="N329" s="63"/>
      <c r="O329" s="64"/>
      <c r="P329" s="63"/>
      <c r="Q329" s="63"/>
      <c r="R329" s="407"/>
      <c r="T329" s="182"/>
      <c r="U329" s="182"/>
    </row>
    <row r="330" spans="2:21" ht="9.75" customHeight="1" x14ac:dyDescent="0.4">
      <c r="B330" s="219" t="s">
        <v>395</v>
      </c>
      <c r="C330" s="125"/>
      <c r="D330" s="69" t="s">
        <v>314</v>
      </c>
      <c r="E330" s="408">
        <f t="shared" ref="E330:O330" si="43">SUM(E314:E329)</f>
        <v>175</v>
      </c>
      <c r="F330" s="409">
        <f t="shared" si="43"/>
        <v>75</v>
      </c>
      <c r="G330" s="409">
        <f t="shared" si="43"/>
        <v>55</v>
      </c>
      <c r="H330" s="409">
        <f t="shared" si="43"/>
        <v>41</v>
      </c>
      <c r="I330" s="409">
        <f t="shared" si="43"/>
        <v>55</v>
      </c>
      <c r="J330" s="409">
        <f t="shared" si="43"/>
        <v>65</v>
      </c>
      <c r="K330" s="409">
        <f t="shared" si="43"/>
        <v>66</v>
      </c>
      <c r="L330" s="409">
        <f t="shared" si="43"/>
        <v>67</v>
      </c>
      <c r="M330" s="409">
        <f t="shared" si="43"/>
        <v>53</v>
      </c>
      <c r="N330" s="409">
        <f t="shared" si="43"/>
        <v>87</v>
      </c>
      <c r="O330" s="408">
        <f t="shared" si="43"/>
        <v>112</v>
      </c>
      <c r="P330" s="409">
        <f>MIN(F330:O330)</f>
        <v>41</v>
      </c>
      <c r="Q330" s="409">
        <f>E330-P330</f>
        <v>134</v>
      </c>
      <c r="R330" s="410">
        <f>Q330/E330</f>
        <v>0.76571428571428568</v>
      </c>
      <c r="T330" s="182"/>
      <c r="U330" s="182"/>
    </row>
    <row r="331" spans="2:21" ht="9.75" customHeight="1" x14ac:dyDescent="0.4">
      <c r="C331" s="27" t="s">
        <v>231</v>
      </c>
      <c r="D331" s="60" t="s">
        <v>300</v>
      </c>
      <c r="E331" s="60"/>
      <c r="F331" s="58"/>
      <c r="G331" s="58"/>
      <c r="H331" s="58"/>
      <c r="I331" s="58"/>
      <c r="J331" s="58"/>
      <c r="K331" s="58"/>
      <c r="L331" s="58"/>
      <c r="M331" s="58"/>
      <c r="N331" s="58"/>
      <c r="O331" s="60"/>
      <c r="P331" s="58"/>
      <c r="Q331" s="58"/>
      <c r="R331" s="59"/>
      <c r="T331" s="182"/>
      <c r="U331" s="182"/>
    </row>
    <row r="332" spans="2:21" ht="9.75" customHeight="1" x14ac:dyDescent="0.4">
      <c r="C332" s="17"/>
      <c r="D332" s="60" t="s">
        <v>301</v>
      </c>
      <c r="E332" s="123">
        <v>125</v>
      </c>
      <c r="F332" s="74">
        <v>2</v>
      </c>
      <c r="G332" s="74">
        <v>1</v>
      </c>
      <c r="H332" s="74">
        <v>1</v>
      </c>
      <c r="I332" s="74">
        <v>2</v>
      </c>
      <c r="J332" s="74">
        <v>2</v>
      </c>
      <c r="K332" s="74">
        <v>3</v>
      </c>
      <c r="L332" s="74">
        <v>3</v>
      </c>
      <c r="M332" s="74">
        <v>32</v>
      </c>
      <c r="N332" s="74">
        <v>52</v>
      </c>
      <c r="O332" s="123">
        <v>63</v>
      </c>
      <c r="P332" s="74">
        <f>MIN(F332:O332)</f>
        <v>1</v>
      </c>
      <c r="Q332" s="74">
        <f>E332-P332</f>
        <v>124</v>
      </c>
      <c r="R332" s="75">
        <f>Q332/E332</f>
        <v>0.99199999999999999</v>
      </c>
      <c r="T332" s="182"/>
      <c r="U332" s="182"/>
    </row>
    <row r="333" spans="2:21" ht="9.75" customHeight="1" x14ac:dyDescent="0.4">
      <c r="C333" s="17"/>
      <c r="D333" s="60" t="s">
        <v>303</v>
      </c>
      <c r="E333" s="60"/>
      <c r="F333" s="58"/>
      <c r="G333" s="58"/>
      <c r="H333" s="58"/>
      <c r="I333" s="58"/>
      <c r="J333" s="58"/>
      <c r="K333" s="58"/>
      <c r="L333" s="58"/>
      <c r="M333" s="58"/>
      <c r="N333" s="58"/>
      <c r="O333" s="60"/>
      <c r="P333" s="58"/>
      <c r="Q333" s="58"/>
      <c r="R333" s="59"/>
      <c r="T333" s="182"/>
      <c r="U333" s="182"/>
    </row>
    <row r="334" spans="2:21" ht="9.75" customHeight="1" x14ac:dyDescent="0.4">
      <c r="C334" s="17"/>
      <c r="D334" s="60" t="s">
        <v>369</v>
      </c>
      <c r="E334" s="60"/>
      <c r="F334" s="58"/>
      <c r="G334" s="58"/>
      <c r="H334" s="58"/>
      <c r="I334" s="58"/>
      <c r="J334" s="58"/>
      <c r="K334" s="58"/>
      <c r="L334" s="58"/>
      <c r="M334" s="58"/>
      <c r="N334" s="58"/>
      <c r="O334" s="60"/>
      <c r="P334" s="58"/>
      <c r="Q334" s="58"/>
      <c r="R334" s="59"/>
      <c r="T334" s="182"/>
      <c r="U334" s="182"/>
    </row>
    <row r="335" spans="2:21" ht="9.75" customHeight="1" x14ac:dyDescent="0.4">
      <c r="C335" s="27"/>
      <c r="D335" s="60" t="s">
        <v>369</v>
      </c>
      <c r="E335" s="60"/>
      <c r="F335" s="58"/>
      <c r="G335" s="58"/>
      <c r="H335" s="58"/>
      <c r="I335" s="58"/>
      <c r="J335" s="58"/>
      <c r="K335" s="58"/>
      <c r="L335" s="58"/>
      <c r="M335" s="58"/>
      <c r="N335" s="58"/>
      <c r="O335" s="60"/>
      <c r="P335" s="58"/>
      <c r="Q335" s="58"/>
      <c r="R335" s="59"/>
      <c r="T335" s="182"/>
      <c r="U335" s="182"/>
    </row>
    <row r="336" spans="2:21" ht="9.75" customHeight="1" x14ac:dyDescent="0.4">
      <c r="C336" s="27"/>
      <c r="D336" s="60" t="s">
        <v>308</v>
      </c>
      <c r="E336" s="60"/>
      <c r="F336" s="58"/>
      <c r="G336" s="58"/>
      <c r="H336" s="58"/>
      <c r="I336" s="58"/>
      <c r="J336" s="58"/>
      <c r="K336" s="58"/>
      <c r="L336" s="58"/>
      <c r="M336" s="58"/>
      <c r="N336" s="58"/>
      <c r="O336" s="60"/>
      <c r="P336" s="58"/>
      <c r="Q336" s="58"/>
      <c r="R336" s="59"/>
      <c r="T336" s="182"/>
      <c r="U336" s="182"/>
    </row>
    <row r="337" spans="2:21" ht="9.75" customHeight="1" x14ac:dyDescent="0.4">
      <c r="C337" s="27"/>
      <c r="D337" s="60" t="s">
        <v>374</v>
      </c>
      <c r="E337" s="60"/>
      <c r="F337" s="58"/>
      <c r="G337" s="58"/>
      <c r="H337" s="58"/>
      <c r="I337" s="58"/>
      <c r="J337" s="58"/>
      <c r="K337" s="58"/>
      <c r="L337" s="58"/>
      <c r="M337" s="58"/>
      <c r="N337" s="58"/>
      <c r="O337" s="60"/>
      <c r="P337" s="58"/>
      <c r="Q337" s="58"/>
      <c r="R337" s="59"/>
      <c r="T337" s="182"/>
      <c r="U337" s="182"/>
    </row>
    <row r="338" spans="2:21" ht="9.75" customHeight="1" x14ac:dyDescent="0.4">
      <c r="C338" s="27"/>
      <c r="D338" s="60" t="s">
        <v>374</v>
      </c>
      <c r="E338" s="60"/>
      <c r="F338" s="58"/>
      <c r="G338" s="58"/>
      <c r="H338" s="58"/>
      <c r="I338" s="58"/>
      <c r="J338" s="58"/>
      <c r="K338" s="58"/>
      <c r="L338" s="58"/>
      <c r="M338" s="58"/>
      <c r="N338" s="58"/>
      <c r="O338" s="60"/>
      <c r="P338" s="58"/>
      <c r="Q338" s="58"/>
      <c r="R338" s="59"/>
      <c r="T338" s="182"/>
      <c r="U338" s="182"/>
    </row>
    <row r="339" spans="2:21" ht="9.75" customHeight="1" x14ac:dyDescent="0.4">
      <c r="C339" s="27"/>
      <c r="D339" s="60" t="s">
        <v>374</v>
      </c>
      <c r="E339" s="60"/>
      <c r="F339" s="58"/>
      <c r="G339" s="58"/>
      <c r="H339" s="58"/>
      <c r="I339" s="58"/>
      <c r="J339" s="58"/>
      <c r="K339" s="58"/>
      <c r="L339" s="58"/>
      <c r="M339" s="58"/>
      <c r="N339" s="58"/>
      <c r="O339" s="60"/>
      <c r="P339" s="58"/>
      <c r="Q339" s="58"/>
      <c r="R339" s="59"/>
      <c r="T339" s="182"/>
      <c r="U339" s="182"/>
    </row>
    <row r="340" spans="2:21" ht="9.75" customHeight="1" x14ac:dyDescent="0.4">
      <c r="C340" s="27"/>
      <c r="D340" s="60" t="s">
        <v>374</v>
      </c>
      <c r="E340" s="60"/>
      <c r="F340" s="58"/>
      <c r="G340" s="58"/>
      <c r="H340" s="58"/>
      <c r="I340" s="58"/>
      <c r="J340" s="58"/>
      <c r="K340" s="58"/>
      <c r="L340" s="58"/>
      <c r="M340" s="58"/>
      <c r="N340" s="58"/>
      <c r="O340" s="60"/>
      <c r="P340" s="58"/>
      <c r="Q340" s="58"/>
      <c r="R340" s="59"/>
      <c r="T340" s="182"/>
      <c r="U340" s="182"/>
    </row>
    <row r="341" spans="2:21" ht="9.75" customHeight="1" x14ac:dyDescent="0.4">
      <c r="C341" s="27"/>
      <c r="D341" s="60" t="s">
        <v>374</v>
      </c>
      <c r="E341" s="60"/>
      <c r="F341" s="58"/>
      <c r="G341" s="58"/>
      <c r="H341" s="58"/>
      <c r="I341" s="58"/>
      <c r="J341" s="58"/>
      <c r="K341" s="58"/>
      <c r="L341" s="58"/>
      <c r="M341" s="58"/>
      <c r="N341" s="58"/>
      <c r="O341" s="60"/>
      <c r="P341" s="58"/>
      <c r="Q341" s="58"/>
      <c r="R341" s="59"/>
      <c r="T341" s="182"/>
      <c r="U341" s="182"/>
    </row>
    <row r="342" spans="2:21" ht="9.75" customHeight="1" x14ac:dyDescent="0.4">
      <c r="C342" s="27"/>
      <c r="D342" s="60" t="s">
        <v>374</v>
      </c>
      <c r="E342" s="60"/>
      <c r="F342" s="58"/>
      <c r="G342" s="58"/>
      <c r="H342" s="58"/>
      <c r="I342" s="58"/>
      <c r="J342" s="58"/>
      <c r="K342" s="58"/>
      <c r="L342" s="58"/>
      <c r="M342" s="58"/>
      <c r="N342" s="58"/>
      <c r="O342" s="60"/>
      <c r="P342" s="58"/>
      <c r="Q342" s="58"/>
      <c r="R342" s="59"/>
      <c r="T342" s="182"/>
      <c r="U342" s="182"/>
    </row>
    <row r="343" spans="2:21" ht="9.75" customHeight="1" x14ac:dyDescent="0.4">
      <c r="C343" s="27"/>
      <c r="D343" s="60" t="s">
        <v>310</v>
      </c>
      <c r="E343" s="123">
        <v>2</v>
      </c>
      <c r="F343" s="74">
        <v>1</v>
      </c>
      <c r="G343" s="74">
        <v>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123">
        <v>1</v>
      </c>
      <c r="P343" s="74">
        <f>MIN(F343:O343)</f>
        <v>0</v>
      </c>
      <c r="Q343" s="74">
        <f>E343-P343</f>
        <v>2</v>
      </c>
      <c r="R343" s="75">
        <f>Q343/E343</f>
        <v>1</v>
      </c>
      <c r="T343" s="182"/>
      <c r="U343" s="182"/>
    </row>
    <row r="344" spans="2:21" ht="9.75" customHeight="1" x14ac:dyDescent="0.4">
      <c r="C344" s="27"/>
      <c r="D344" s="60" t="s">
        <v>311</v>
      </c>
      <c r="E344" s="60"/>
      <c r="F344" s="58"/>
      <c r="G344" s="58"/>
      <c r="H344" s="58"/>
      <c r="I344" s="58"/>
      <c r="J344" s="58"/>
      <c r="K344" s="58"/>
      <c r="L344" s="58"/>
      <c r="M344" s="58"/>
      <c r="N344" s="58"/>
      <c r="O344" s="60"/>
      <c r="P344" s="58"/>
      <c r="Q344" s="58"/>
      <c r="R344" s="59"/>
      <c r="T344" s="182"/>
      <c r="U344" s="182"/>
    </row>
    <row r="345" spans="2:21" ht="9.75" customHeight="1" x14ac:dyDescent="0.4">
      <c r="C345" s="27"/>
      <c r="D345" s="60" t="s">
        <v>312</v>
      </c>
      <c r="E345" s="60"/>
      <c r="F345" s="58"/>
      <c r="G345" s="58"/>
      <c r="H345" s="58"/>
      <c r="I345" s="58"/>
      <c r="J345" s="58"/>
      <c r="K345" s="58"/>
      <c r="L345" s="58"/>
      <c r="M345" s="58"/>
      <c r="N345" s="58"/>
      <c r="O345" s="60"/>
      <c r="P345" s="58"/>
      <c r="Q345" s="58"/>
      <c r="R345" s="59"/>
      <c r="T345" s="182"/>
      <c r="U345" s="182"/>
    </row>
    <row r="346" spans="2:21" ht="9.75" customHeight="1" x14ac:dyDescent="0.4">
      <c r="C346" s="27"/>
      <c r="D346" s="64" t="s">
        <v>313</v>
      </c>
      <c r="E346" s="64"/>
      <c r="F346" s="63"/>
      <c r="G346" s="63"/>
      <c r="H346" s="63"/>
      <c r="I346" s="63"/>
      <c r="J346" s="63"/>
      <c r="K346" s="63"/>
      <c r="L346" s="63"/>
      <c r="M346" s="63"/>
      <c r="N346" s="63"/>
      <c r="O346" s="64"/>
      <c r="P346" s="63"/>
      <c r="Q346" s="63"/>
      <c r="R346" s="407"/>
      <c r="T346" s="182"/>
      <c r="U346" s="182"/>
    </row>
    <row r="347" spans="2:21" ht="9.75" customHeight="1" x14ac:dyDescent="0.4">
      <c r="B347" s="219" t="s">
        <v>395</v>
      </c>
      <c r="C347" s="125"/>
      <c r="D347" s="69" t="s">
        <v>314</v>
      </c>
      <c r="E347" s="408">
        <f t="shared" ref="E347:O347" si="44">SUM(E331:E346)</f>
        <v>127</v>
      </c>
      <c r="F347" s="409">
        <f t="shared" si="44"/>
        <v>3</v>
      </c>
      <c r="G347" s="409">
        <f t="shared" si="44"/>
        <v>1</v>
      </c>
      <c r="H347" s="409">
        <f t="shared" si="44"/>
        <v>1</v>
      </c>
      <c r="I347" s="409">
        <f t="shared" si="44"/>
        <v>2</v>
      </c>
      <c r="J347" s="409">
        <f t="shared" si="44"/>
        <v>2</v>
      </c>
      <c r="K347" s="409">
        <f t="shared" si="44"/>
        <v>3</v>
      </c>
      <c r="L347" s="409">
        <f t="shared" si="44"/>
        <v>3</v>
      </c>
      <c r="M347" s="409">
        <f t="shared" si="44"/>
        <v>32</v>
      </c>
      <c r="N347" s="409">
        <f t="shared" si="44"/>
        <v>52</v>
      </c>
      <c r="O347" s="408">
        <f t="shared" si="44"/>
        <v>64</v>
      </c>
      <c r="P347" s="409">
        <f>MIN(F347:O347)</f>
        <v>1</v>
      </c>
      <c r="Q347" s="409">
        <f>E347-P347</f>
        <v>126</v>
      </c>
      <c r="R347" s="410">
        <f>Q347/E347</f>
        <v>0.99212598425196852</v>
      </c>
      <c r="T347" s="182"/>
      <c r="U347" s="182"/>
    </row>
    <row r="348" spans="2:21" ht="9.75" customHeight="1" x14ac:dyDescent="0.4">
      <c r="C348" s="27" t="s">
        <v>232</v>
      </c>
      <c r="D348" s="60" t="s">
        <v>300</v>
      </c>
      <c r="E348" s="60"/>
      <c r="F348" s="58"/>
      <c r="G348" s="58"/>
      <c r="H348" s="58"/>
      <c r="I348" s="58"/>
      <c r="J348" s="58"/>
      <c r="K348" s="58"/>
      <c r="L348" s="58"/>
      <c r="M348" s="58"/>
      <c r="N348" s="58"/>
      <c r="O348" s="60"/>
      <c r="P348" s="58"/>
      <c r="Q348" s="58"/>
      <c r="R348" s="59"/>
      <c r="T348" s="182"/>
      <c r="U348" s="182"/>
    </row>
    <row r="349" spans="2:21" ht="9.75" customHeight="1" x14ac:dyDescent="0.4">
      <c r="C349" s="17"/>
      <c r="D349" s="60" t="s">
        <v>301</v>
      </c>
      <c r="E349" s="123">
        <v>86</v>
      </c>
      <c r="F349" s="74">
        <v>0</v>
      </c>
      <c r="G349" s="74">
        <v>0</v>
      </c>
      <c r="H349" s="74">
        <v>0</v>
      </c>
      <c r="I349" s="74">
        <v>1</v>
      </c>
      <c r="J349" s="74">
        <v>3</v>
      </c>
      <c r="K349" s="74">
        <v>1</v>
      </c>
      <c r="L349" s="74">
        <v>0</v>
      </c>
      <c r="M349" s="74">
        <v>8</v>
      </c>
      <c r="N349" s="74">
        <v>35</v>
      </c>
      <c r="O349" s="123">
        <v>49</v>
      </c>
      <c r="P349" s="74">
        <f>MIN(F349:O349)</f>
        <v>0</v>
      </c>
      <c r="Q349" s="74">
        <f>E349-P349</f>
        <v>86</v>
      </c>
      <c r="R349" s="75">
        <f>Q349/E349</f>
        <v>1</v>
      </c>
      <c r="T349" s="182"/>
      <c r="U349" s="182"/>
    </row>
    <row r="350" spans="2:21" ht="9.75" customHeight="1" x14ac:dyDescent="0.4">
      <c r="C350" s="17"/>
      <c r="D350" s="60" t="s">
        <v>303</v>
      </c>
      <c r="E350" s="60"/>
      <c r="F350" s="58"/>
      <c r="G350" s="58"/>
      <c r="H350" s="58"/>
      <c r="I350" s="58"/>
      <c r="J350" s="58"/>
      <c r="K350" s="58"/>
      <c r="L350" s="58"/>
      <c r="M350" s="58"/>
      <c r="N350" s="58"/>
      <c r="O350" s="60"/>
      <c r="P350" s="58"/>
      <c r="Q350" s="58"/>
      <c r="R350" s="59"/>
      <c r="T350" s="182"/>
      <c r="U350" s="182"/>
    </row>
    <row r="351" spans="2:21" ht="9.75" customHeight="1" x14ac:dyDescent="0.4">
      <c r="C351" s="17"/>
      <c r="D351" s="60" t="s">
        <v>369</v>
      </c>
      <c r="E351" s="60"/>
      <c r="F351" s="58"/>
      <c r="G351" s="58"/>
      <c r="H351" s="58"/>
      <c r="I351" s="58"/>
      <c r="J351" s="58"/>
      <c r="K351" s="58"/>
      <c r="L351" s="58"/>
      <c r="M351" s="58"/>
      <c r="N351" s="58"/>
      <c r="O351" s="60"/>
      <c r="P351" s="58"/>
      <c r="Q351" s="58"/>
      <c r="R351" s="59"/>
      <c r="T351" s="182"/>
      <c r="U351" s="182"/>
    </row>
    <row r="352" spans="2:21" ht="9.75" customHeight="1" x14ac:dyDescent="0.4">
      <c r="C352" s="27"/>
      <c r="D352" s="60" t="s">
        <v>369</v>
      </c>
      <c r="E352" s="60"/>
      <c r="F352" s="58"/>
      <c r="G352" s="58"/>
      <c r="H352" s="58"/>
      <c r="I352" s="58"/>
      <c r="J352" s="58"/>
      <c r="K352" s="58"/>
      <c r="L352" s="58"/>
      <c r="M352" s="58"/>
      <c r="N352" s="58"/>
      <c r="O352" s="60"/>
      <c r="P352" s="58"/>
      <c r="Q352" s="58"/>
      <c r="R352" s="59"/>
      <c r="T352" s="182"/>
      <c r="U352" s="182"/>
    </row>
    <row r="353" spans="2:21" ht="9.75" customHeight="1" x14ac:dyDescent="0.4">
      <c r="C353" s="27"/>
      <c r="D353" s="60" t="s">
        <v>308</v>
      </c>
      <c r="E353" s="60"/>
      <c r="F353" s="58"/>
      <c r="G353" s="58"/>
      <c r="H353" s="58"/>
      <c r="I353" s="58"/>
      <c r="J353" s="58"/>
      <c r="K353" s="58"/>
      <c r="L353" s="58"/>
      <c r="M353" s="58"/>
      <c r="N353" s="58"/>
      <c r="O353" s="60"/>
      <c r="P353" s="58"/>
      <c r="Q353" s="58"/>
      <c r="R353" s="59"/>
      <c r="T353" s="182"/>
      <c r="U353" s="182"/>
    </row>
    <row r="354" spans="2:21" ht="9.75" customHeight="1" x14ac:dyDescent="0.4">
      <c r="C354" s="27"/>
      <c r="D354" s="60" t="s">
        <v>374</v>
      </c>
      <c r="E354" s="60"/>
      <c r="F354" s="58"/>
      <c r="G354" s="58"/>
      <c r="H354" s="58"/>
      <c r="I354" s="58"/>
      <c r="J354" s="58"/>
      <c r="K354" s="58"/>
      <c r="L354" s="58"/>
      <c r="M354" s="58"/>
      <c r="N354" s="58"/>
      <c r="O354" s="60"/>
      <c r="P354" s="58"/>
      <c r="Q354" s="58"/>
      <c r="R354" s="59"/>
      <c r="T354" s="182"/>
      <c r="U354" s="182"/>
    </row>
    <row r="355" spans="2:21" ht="9.75" customHeight="1" x14ac:dyDescent="0.4">
      <c r="C355" s="27"/>
      <c r="D355" s="60" t="s">
        <v>374</v>
      </c>
      <c r="E355" s="60"/>
      <c r="F355" s="58"/>
      <c r="G355" s="58"/>
      <c r="H355" s="58"/>
      <c r="I355" s="58"/>
      <c r="J355" s="58"/>
      <c r="K355" s="58"/>
      <c r="L355" s="58"/>
      <c r="M355" s="58"/>
      <c r="N355" s="58"/>
      <c r="O355" s="60"/>
      <c r="P355" s="58"/>
      <c r="Q355" s="58"/>
      <c r="R355" s="59"/>
      <c r="T355" s="182"/>
      <c r="U355" s="182"/>
    </row>
    <row r="356" spans="2:21" ht="9.75" customHeight="1" x14ac:dyDescent="0.4">
      <c r="C356" s="27"/>
      <c r="D356" s="60" t="s">
        <v>374</v>
      </c>
      <c r="E356" s="60"/>
      <c r="F356" s="58"/>
      <c r="G356" s="58"/>
      <c r="H356" s="58"/>
      <c r="I356" s="58"/>
      <c r="J356" s="58"/>
      <c r="K356" s="58"/>
      <c r="L356" s="58"/>
      <c r="M356" s="58"/>
      <c r="N356" s="58"/>
      <c r="O356" s="60"/>
      <c r="P356" s="58"/>
      <c r="Q356" s="58"/>
      <c r="R356" s="59"/>
      <c r="T356" s="182"/>
      <c r="U356" s="182"/>
    </row>
    <row r="357" spans="2:21" ht="9.75" customHeight="1" x14ac:dyDescent="0.4">
      <c r="C357" s="27"/>
      <c r="D357" s="60" t="s">
        <v>374</v>
      </c>
      <c r="E357" s="60"/>
      <c r="F357" s="58"/>
      <c r="G357" s="58"/>
      <c r="H357" s="58"/>
      <c r="I357" s="58"/>
      <c r="J357" s="58"/>
      <c r="K357" s="58"/>
      <c r="L357" s="58"/>
      <c r="M357" s="58"/>
      <c r="N357" s="58"/>
      <c r="O357" s="60"/>
      <c r="P357" s="58"/>
      <c r="Q357" s="58"/>
      <c r="R357" s="59"/>
      <c r="T357" s="182"/>
      <c r="U357" s="182"/>
    </row>
    <row r="358" spans="2:21" ht="9.75" customHeight="1" x14ac:dyDescent="0.4">
      <c r="C358" s="27"/>
      <c r="D358" s="60" t="s">
        <v>374</v>
      </c>
      <c r="E358" s="60"/>
      <c r="F358" s="58"/>
      <c r="G358" s="58"/>
      <c r="H358" s="58"/>
      <c r="I358" s="58"/>
      <c r="J358" s="58"/>
      <c r="K358" s="58"/>
      <c r="L358" s="58"/>
      <c r="M358" s="58"/>
      <c r="N358" s="58"/>
      <c r="O358" s="60"/>
      <c r="P358" s="58"/>
      <c r="Q358" s="58"/>
      <c r="R358" s="59"/>
      <c r="T358" s="182"/>
      <c r="U358" s="182"/>
    </row>
    <row r="359" spans="2:21" ht="9.75" customHeight="1" x14ac:dyDescent="0.4">
      <c r="C359" s="27"/>
      <c r="D359" s="60" t="s">
        <v>374</v>
      </c>
      <c r="E359" s="60"/>
      <c r="F359" s="58"/>
      <c r="G359" s="58"/>
      <c r="H359" s="58"/>
      <c r="I359" s="58"/>
      <c r="J359" s="58"/>
      <c r="K359" s="58"/>
      <c r="L359" s="58"/>
      <c r="M359" s="58"/>
      <c r="N359" s="58"/>
      <c r="O359" s="60"/>
      <c r="P359" s="58"/>
      <c r="Q359" s="58"/>
      <c r="R359" s="59"/>
      <c r="T359" s="182"/>
      <c r="U359" s="182"/>
    </row>
    <row r="360" spans="2:21" ht="9.75" customHeight="1" x14ac:dyDescent="0.4">
      <c r="C360" s="27"/>
      <c r="D360" s="60" t="s">
        <v>310</v>
      </c>
      <c r="E360" s="60"/>
      <c r="F360" s="58"/>
      <c r="G360" s="58"/>
      <c r="H360" s="58"/>
      <c r="I360" s="58"/>
      <c r="J360" s="58"/>
      <c r="K360" s="58"/>
      <c r="L360" s="58"/>
      <c r="M360" s="58"/>
      <c r="N360" s="58"/>
      <c r="O360" s="60"/>
      <c r="P360" s="58"/>
      <c r="Q360" s="58"/>
      <c r="R360" s="59"/>
      <c r="T360" s="182"/>
      <c r="U360" s="182"/>
    </row>
    <row r="361" spans="2:21" ht="9.75" customHeight="1" x14ac:dyDescent="0.4">
      <c r="C361" s="27"/>
      <c r="D361" s="60" t="s">
        <v>311</v>
      </c>
      <c r="E361" s="60"/>
      <c r="F361" s="58"/>
      <c r="G361" s="58"/>
      <c r="H361" s="58"/>
      <c r="I361" s="58"/>
      <c r="J361" s="58"/>
      <c r="K361" s="58"/>
      <c r="L361" s="58"/>
      <c r="M361" s="58"/>
      <c r="N361" s="58"/>
      <c r="O361" s="60"/>
      <c r="P361" s="58"/>
      <c r="Q361" s="58"/>
      <c r="R361" s="59"/>
      <c r="T361" s="182"/>
      <c r="U361" s="182"/>
    </row>
    <row r="362" spans="2:21" ht="9.75" customHeight="1" x14ac:dyDescent="0.4">
      <c r="C362" s="27"/>
      <c r="D362" s="60" t="s">
        <v>312</v>
      </c>
      <c r="E362" s="60"/>
      <c r="F362" s="58"/>
      <c r="G362" s="58"/>
      <c r="H362" s="58"/>
      <c r="I362" s="58"/>
      <c r="J362" s="58"/>
      <c r="K362" s="58"/>
      <c r="L362" s="58"/>
      <c r="M362" s="58"/>
      <c r="N362" s="58"/>
      <c r="O362" s="60"/>
      <c r="P362" s="58"/>
      <c r="Q362" s="58"/>
      <c r="R362" s="59"/>
      <c r="T362" s="182"/>
      <c r="U362" s="182"/>
    </row>
    <row r="363" spans="2:21" ht="9.75" customHeight="1" x14ac:dyDescent="0.4">
      <c r="C363" s="27"/>
      <c r="D363" s="64" t="s">
        <v>313</v>
      </c>
      <c r="E363" s="64"/>
      <c r="F363" s="63"/>
      <c r="G363" s="63"/>
      <c r="H363" s="63"/>
      <c r="I363" s="63"/>
      <c r="J363" s="63"/>
      <c r="K363" s="63"/>
      <c r="L363" s="63"/>
      <c r="M363" s="63"/>
      <c r="N363" s="63"/>
      <c r="O363" s="64"/>
      <c r="P363" s="63"/>
      <c r="Q363" s="63"/>
      <c r="R363" s="407"/>
      <c r="T363" s="182"/>
      <c r="U363" s="182"/>
    </row>
    <row r="364" spans="2:21" ht="9.75" customHeight="1" x14ac:dyDescent="0.4">
      <c r="B364" s="219" t="s">
        <v>395</v>
      </c>
      <c r="C364" s="125"/>
      <c r="D364" s="69" t="s">
        <v>314</v>
      </c>
      <c r="E364" s="408">
        <f t="shared" ref="E364:O364" si="45">SUM(E348:E363)</f>
        <v>86</v>
      </c>
      <c r="F364" s="409">
        <f t="shared" si="45"/>
        <v>0</v>
      </c>
      <c r="G364" s="409">
        <f t="shared" si="45"/>
        <v>0</v>
      </c>
      <c r="H364" s="409">
        <f t="shared" si="45"/>
        <v>0</v>
      </c>
      <c r="I364" s="409">
        <f t="shared" si="45"/>
        <v>1</v>
      </c>
      <c r="J364" s="409">
        <f t="shared" si="45"/>
        <v>3</v>
      </c>
      <c r="K364" s="409">
        <f t="shared" si="45"/>
        <v>1</v>
      </c>
      <c r="L364" s="409">
        <f t="shared" si="45"/>
        <v>0</v>
      </c>
      <c r="M364" s="409">
        <f t="shared" si="45"/>
        <v>8</v>
      </c>
      <c r="N364" s="409">
        <f t="shared" si="45"/>
        <v>35</v>
      </c>
      <c r="O364" s="408">
        <f t="shared" si="45"/>
        <v>49</v>
      </c>
      <c r="P364" s="409">
        <f>MIN(F364:O364)</f>
        <v>0</v>
      </c>
      <c r="Q364" s="409">
        <f>E364-P364</f>
        <v>86</v>
      </c>
      <c r="R364" s="410">
        <f>Q364/E364</f>
        <v>1</v>
      </c>
      <c r="T364" s="182"/>
      <c r="U364" s="182"/>
    </row>
    <row r="365" spans="2:21" ht="9.75" customHeight="1" x14ac:dyDescent="0.4">
      <c r="C365" s="27" t="s">
        <v>233</v>
      </c>
      <c r="D365" s="60" t="s">
        <v>300</v>
      </c>
      <c r="E365" s="60"/>
      <c r="F365" s="58"/>
      <c r="G365" s="58"/>
      <c r="H365" s="58"/>
      <c r="I365" s="58"/>
      <c r="J365" s="58"/>
      <c r="K365" s="58"/>
      <c r="L365" s="58"/>
      <c r="M365" s="58"/>
      <c r="N365" s="58"/>
      <c r="O365" s="60"/>
      <c r="P365" s="58"/>
      <c r="Q365" s="58"/>
      <c r="R365" s="59"/>
      <c r="T365" s="182"/>
      <c r="U365" s="182"/>
    </row>
    <row r="366" spans="2:21" ht="9.75" customHeight="1" x14ac:dyDescent="0.4">
      <c r="C366" s="17"/>
      <c r="D366" s="60" t="s">
        <v>301</v>
      </c>
      <c r="E366" s="123">
        <v>91</v>
      </c>
      <c r="F366" s="74">
        <v>4</v>
      </c>
      <c r="G366" s="74">
        <v>1</v>
      </c>
      <c r="H366" s="74">
        <v>1</v>
      </c>
      <c r="I366" s="74">
        <v>0</v>
      </c>
      <c r="J366" s="74">
        <v>6</v>
      </c>
      <c r="K366" s="74">
        <v>7</v>
      </c>
      <c r="L366" s="74">
        <v>2</v>
      </c>
      <c r="M366" s="74">
        <v>16</v>
      </c>
      <c r="N366" s="74">
        <v>34</v>
      </c>
      <c r="O366" s="123">
        <v>41</v>
      </c>
      <c r="P366" s="74">
        <f>MIN(F366:O366)</f>
        <v>0</v>
      </c>
      <c r="Q366" s="74">
        <f>E366-P366</f>
        <v>91</v>
      </c>
      <c r="R366" s="75">
        <f>Q366/E366</f>
        <v>1</v>
      </c>
      <c r="T366" s="182"/>
      <c r="U366" s="182"/>
    </row>
    <row r="367" spans="2:21" ht="9.75" customHeight="1" x14ac:dyDescent="0.4">
      <c r="C367" s="17"/>
      <c r="D367" s="60" t="s">
        <v>303</v>
      </c>
      <c r="E367" s="60"/>
      <c r="F367" s="58"/>
      <c r="G367" s="58"/>
      <c r="H367" s="58"/>
      <c r="I367" s="58"/>
      <c r="J367" s="58"/>
      <c r="K367" s="58"/>
      <c r="L367" s="58"/>
      <c r="M367" s="58"/>
      <c r="N367" s="58"/>
      <c r="O367" s="60"/>
      <c r="P367" s="58"/>
      <c r="Q367" s="58"/>
      <c r="R367" s="59"/>
      <c r="T367" s="182"/>
      <c r="U367" s="182"/>
    </row>
    <row r="368" spans="2:21" ht="9.75" customHeight="1" x14ac:dyDescent="0.4">
      <c r="C368" s="17"/>
      <c r="D368" s="60" t="s">
        <v>369</v>
      </c>
      <c r="E368" s="60"/>
      <c r="F368" s="58"/>
      <c r="G368" s="58"/>
      <c r="H368" s="58"/>
      <c r="I368" s="58"/>
      <c r="J368" s="58"/>
      <c r="K368" s="58"/>
      <c r="L368" s="58"/>
      <c r="M368" s="58"/>
      <c r="N368" s="58"/>
      <c r="O368" s="60"/>
      <c r="P368" s="58"/>
      <c r="Q368" s="58"/>
      <c r="R368" s="59"/>
      <c r="T368" s="182"/>
      <c r="U368" s="182"/>
    </row>
    <row r="369" spans="2:21" ht="9.75" customHeight="1" x14ac:dyDescent="0.4">
      <c r="C369" s="27"/>
      <c r="D369" s="60" t="s">
        <v>369</v>
      </c>
      <c r="E369" s="60"/>
      <c r="F369" s="58"/>
      <c r="G369" s="58"/>
      <c r="H369" s="58"/>
      <c r="I369" s="58"/>
      <c r="J369" s="58"/>
      <c r="K369" s="58"/>
      <c r="L369" s="58"/>
      <c r="M369" s="58"/>
      <c r="N369" s="58"/>
      <c r="O369" s="60"/>
      <c r="P369" s="58"/>
      <c r="Q369" s="58"/>
      <c r="R369" s="59"/>
      <c r="T369" s="182"/>
      <c r="U369" s="182"/>
    </row>
    <row r="370" spans="2:21" ht="9.75" customHeight="1" x14ac:dyDescent="0.4">
      <c r="C370" s="27"/>
      <c r="D370" s="60" t="s">
        <v>308</v>
      </c>
      <c r="E370" s="60"/>
      <c r="F370" s="58"/>
      <c r="G370" s="58"/>
      <c r="H370" s="58"/>
      <c r="I370" s="58"/>
      <c r="J370" s="58"/>
      <c r="K370" s="58"/>
      <c r="L370" s="58"/>
      <c r="M370" s="58"/>
      <c r="N370" s="58"/>
      <c r="O370" s="60"/>
      <c r="P370" s="58"/>
      <c r="Q370" s="58"/>
      <c r="R370" s="59"/>
      <c r="T370" s="182"/>
      <c r="U370" s="182"/>
    </row>
    <row r="371" spans="2:21" ht="9.75" customHeight="1" x14ac:dyDescent="0.4">
      <c r="C371" s="27"/>
      <c r="D371" s="60" t="s">
        <v>374</v>
      </c>
      <c r="E371" s="60"/>
      <c r="F371" s="58"/>
      <c r="G371" s="58"/>
      <c r="H371" s="58"/>
      <c r="I371" s="58"/>
      <c r="J371" s="58"/>
      <c r="K371" s="58"/>
      <c r="L371" s="58"/>
      <c r="M371" s="58"/>
      <c r="N371" s="58"/>
      <c r="O371" s="60"/>
      <c r="P371" s="58"/>
      <c r="Q371" s="58"/>
      <c r="R371" s="59"/>
      <c r="T371" s="182"/>
      <c r="U371" s="182"/>
    </row>
    <row r="372" spans="2:21" ht="9.75" customHeight="1" x14ac:dyDescent="0.4">
      <c r="C372" s="27"/>
      <c r="D372" s="60" t="s">
        <v>374</v>
      </c>
      <c r="E372" s="60"/>
      <c r="F372" s="58"/>
      <c r="G372" s="58"/>
      <c r="H372" s="58"/>
      <c r="I372" s="58"/>
      <c r="J372" s="58"/>
      <c r="K372" s="58"/>
      <c r="L372" s="58"/>
      <c r="M372" s="58"/>
      <c r="N372" s="58"/>
      <c r="O372" s="60"/>
      <c r="P372" s="58"/>
      <c r="Q372" s="58"/>
      <c r="R372" s="59"/>
      <c r="T372" s="182"/>
      <c r="U372" s="182"/>
    </row>
    <row r="373" spans="2:21" ht="9.75" customHeight="1" x14ac:dyDescent="0.4">
      <c r="C373" s="27"/>
      <c r="D373" s="60" t="s">
        <v>374</v>
      </c>
      <c r="E373" s="60"/>
      <c r="F373" s="58"/>
      <c r="G373" s="58"/>
      <c r="H373" s="58"/>
      <c r="I373" s="58"/>
      <c r="J373" s="58"/>
      <c r="K373" s="58"/>
      <c r="L373" s="58"/>
      <c r="M373" s="58"/>
      <c r="N373" s="58"/>
      <c r="O373" s="60"/>
      <c r="P373" s="58"/>
      <c r="Q373" s="58"/>
      <c r="R373" s="59"/>
      <c r="T373" s="182"/>
      <c r="U373" s="182"/>
    </row>
    <row r="374" spans="2:21" ht="9.75" customHeight="1" x14ac:dyDescent="0.4">
      <c r="C374" s="27"/>
      <c r="D374" s="60" t="s">
        <v>374</v>
      </c>
      <c r="E374" s="60"/>
      <c r="F374" s="58"/>
      <c r="G374" s="58"/>
      <c r="H374" s="58"/>
      <c r="I374" s="58"/>
      <c r="J374" s="58"/>
      <c r="K374" s="58"/>
      <c r="L374" s="58"/>
      <c r="M374" s="58"/>
      <c r="N374" s="58"/>
      <c r="O374" s="60"/>
      <c r="P374" s="58"/>
      <c r="Q374" s="58"/>
      <c r="R374" s="59"/>
      <c r="T374" s="182"/>
      <c r="U374" s="182"/>
    </row>
    <row r="375" spans="2:21" ht="9.75" customHeight="1" x14ac:dyDescent="0.4">
      <c r="C375" s="27"/>
      <c r="D375" s="60" t="s">
        <v>374</v>
      </c>
      <c r="E375" s="60"/>
      <c r="F375" s="58"/>
      <c r="G375" s="58"/>
      <c r="H375" s="58"/>
      <c r="I375" s="58"/>
      <c r="J375" s="58"/>
      <c r="K375" s="58"/>
      <c r="L375" s="58"/>
      <c r="M375" s="58"/>
      <c r="N375" s="58"/>
      <c r="O375" s="60"/>
      <c r="P375" s="58"/>
      <c r="Q375" s="58"/>
      <c r="R375" s="59"/>
      <c r="T375" s="182"/>
      <c r="U375" s="182"/>
    </row>
    <row r="376" spans="2:21" ht="9.75" customHeight="1" x14ac:dyDescent="0.4">
      <c r="C376" s="27"/>
      <c r="D376" s="60" t="s">
        <v>374</v>
      </c>
      <c r="E376" s="60"/>
      <c r="F376" s="58"/>
      <c r="G376" s="58"/>
      <c r="H376" s="58"/>
      <c r="I376" s="58"/>
      <c r="J376" s="58"/>
      <c r="K376" s="58"/>
      <c r="L376" s="58"/>
      <c r="M376" s="58"/>
      <c r="N376" s="58"/>
      <c r="O376" s="60"/>
      <c r="P376" s="58"/>
      <c r="Q376" s="58"/>
      <c r="R376" s="59"/>
      <c r="T376" s="182"/>
      <c r="U376" s="182"/>
    </row>
    <row r="377" spans="2:21" ht="9.75" customHeight="1" x14ac:dyDescent="0.4">
      <c r="C377" s="27"/>
      <c r="D377" s="60" t="s">
        <v>310</v>
      </c>
      <c r="E377" s="60"/>
      <c r="F377" s="58"/>
      <c r="G377" s="58"/>
      <c r="H377" s="58"/>
      <c r="I377" s="58"/>
      <c r="J377" s="58"/>
      <c r="K377" s="58"/>
      <c r="L377" s="58"/>
      <c r="M377" s="58"/>
      <c r="N377" s="58"/>
      <c r="O377" s="60"/>
      <c r="P377" s="58"/>
      <c r="Q377" s="58"/>
      <c r="R377" s="59"/>
      <c r="T377" s="182"/>
      <c r="U377" s="182"/>
    </row>
    <row r="378" spans="2:21" ht="9.75" customHeight="1" x14ac:dyDescent="0.4">
      <c r="C378" s="27"/>
      <c r="D378" s="60" t="s">
        <v>311</v>
      </c>
      <c r="E378" s="60"/>
      <c r="F378" s="58"/>
      <c r="G378" s="58"/>
      <c r="H378" s="58"/>
      <c r="I378" s="58"/>
      <c r="J378" s="58"/>
      <c r="K378" s="58"/>
      <c r="L378" s="58"/>
      <c r="M378" s="58"/>
      <c r="N378" s="58"/>
      <c r="O378" s="60"/>
      <c r="P378" s="58"/>
      <c r="Q378" s="58"/>
      <c r="R378" s="59"/>
      <c r="T378" s="182"/>
      <c r="U378" s="182"/>
    </row>
    <row r="379" spans="2:21" ht="9.75" customHeight="1" x14ac:dyDescent="0.4">
      <c r="C379" s="27"/>
      <c r="D379" s="60" t="s">
        <v>312</v>
      </c>
      <c r="E379" s="60"/>
      <c r="F379" s="58"/>
      <c r="G379" s="58"/>
      <c r="H379" s="58"/>
      <c r="I379" s="58"/>
      <c r="J379" s="58"/>
      <c r="K379" s="58"/>
      <c r="L379" s="58"/>
      <c r="M379" s="58"/>
      <c r="N379" s="58"/>
      <c r="O379" s="60"/>
      <c r="P379" s="58"/>
      <c r="Q379" s="58"/>
      <c r="R379" s="59"/>
      <c r="T379" s="182"/>
      <c r="U379" s="182"/>
    </row>
    <row r="380" spans="2:21" ht="9.75" customHeight="1" x14ac:dyDescent="0.4">
      <c r="C380" s="27"/>
      <c r="D380" s="64" t="s">
        <v>313</v>
      </c>
      <c r="E380" s="64"/>
      <c r="F380" s="63"/>
      <c r="G380" s="63"/>
      <c r="H380" s="63"/>
      <c r="I380" s="63"/>
      <c r="J380" s="63"/>
      <c r="K380" s="63"/>
      <c r="L380" s="63"/>
      <c r="M380" s="63"/>
      <c r="N380" s="63"/>
      <c r="O380" s="64"/>
      <c r="P380" s="63"/>
      <c r="Q380" s="63"/>
      <c r="R380" s="407"/>
      <c r="T380" s="182"/>
      <c r="U380" s="182"/>
    </row>
    <row r="381" spans="2:21" ht="9.75" customHeight="1" x14ac:dyDescent="0.4">
      <c r="B381" s="219" t="s">
        <v>395</v>
      </c>
      <c r="C381" s="125"/>
      <c r="D381" s="69" t="s">
        <v>314</v>
      </c>
      <c r="E381" s="408">
        <f t="shared" ref="E381:O381" si="46">SUM(E365:E380)</f>
        <v>91</v>
      </c>
      <c r="F381" s="409">
        <f t="shared" si="46"/>
        <v>4</v>
      </c>
      <c r="G381" s="409">
        <f t="shared" si="46"/>
        <v>1</v>
      </c>
      <c r="H381" s="409">
        <f t="shared" si="46"/>
        <v>1</v>
      </c>
      <c r="I381" s="409">
        <f t="shared" si="46"/>
        <v>0</v>
      </c>
      <c r="J381" s="409">
        <f t="shared" si="46"/>
        <v>6</v>
      </c>
      <c r="K381" s="409">
        <f t="shared" si="46"/>
        <v>7</v>
      </c>
      <c r="L381" s="409">
        <f t="shared" si="46"/>
        <v>2</v>
      </c>
      <c r="M381" s="409">
        <f t="shared" si="46"/>
        <v>16</v>
      </c>
      <c r="N381" s="409">
        <f t="shared" si="46"/>
        <v>34</v>
      </c>
      <c r="O381" s="408">
        <f t="shared" si="46"/>
        <v>41</v>
      </c>
      <c r="P381" s="409">
        <f>MIN(F381:O381)</f>
        <v>0</v>
      </c>
      <c r="Q381" s="409">
        <f>E381-P381</f>
        <v>91</v>
      </c>
      <c r="R381" s="410">
        <f>Q381/E381</f>
        <v>1</v>
      </c>
      <c r="T381" s="182"/>
      <c r="U381" s="182"/>
    </row>
    <row r="382" spans="2:21" ht="9.75" customHeight="1" x14ac:dyDescent="0.4">
      <c r="C382" s="27" t="s">
        <v>234</v>
      </c>
      <c r="D382" s="60" t="s">
        <v>300</v>
      </c>
      <c r="E382" s="60"/>
      <c r="F382" s="58"/>
      <c r="G382" s="58"/>
      <c r="H382" s="58"/>
      <c r="I382" s="58"/>
      <c r="J382" s="58"/>
      <c r="K382" s="58"/>
      <c r="L382" s="58"/>
      <c r="M382" s="58"/>
      <c r="N382" s="58"/>
      <c r="O382" s="60"/>
      <c r="P382" s="58"/>
      <c r="Q382" s="58"/>
      <c r="R382" s="59"/>
      <c r="T382" s="182"/>
      <c r="U382" s="182"/>
    </row>
    <row r="383" spans="2:21" ht="9.75" customHeight="1" x14ac:dyDescent="0.4">
      <c r="C383" s="17"/>
      <c r="D383" s="60" t="s">
        <v>301</v>
      </c>
      <c r="E383" s="123">
        <v>85</v>
      </c>
      <c r="F383" s="74">
        <v>11</v>
      </c>
      <c r="G383" s="74">
        <v>2</v>
      </c>
      <c r="H383" s="74">
        <v>1</v>
      </c>
      <c r="I383" s="74">
        <v>0</v>
      </c>
      <c r="J383" s="74">
        <v>0</v>
      </c>
      <c r="K383" s="74">
        <v>4</v>
      </c>
      <c r="L383" s="74">
        <v>4</v>
      </c>
      <c r="M383" s="74">
        <v>15</v>
      </c>
      <c r="N383" s="74">
        <v>28</v>
      </c>
      <c r="O383" s="123">
        <v>49</v>
      </c>
      <c r="P383" s="74">
        <f>MIN(F383:O383)</f>
        <v>0</v>
      </c>
      <c r="Q383" s="74">
        <f>E383-P383</f>
        <v>85</v>
      </c>
      <c r="R383" s="75">
        <f>Q383/E383</f>
        <v>1</v>
      </c>
      <c r="T383" s="182"/>
      <c r="U383" s="182"/>
    </row>
    <row r="384" spans="2:21" ht="9.75" customHeight="1" x14ac:dyDescent="0.4">
      <c r="C384" s="17"/>
      <c r="D384" s="60" t="s">
        <v>303</v>
      </c>
      <c r="E384" s="60"/>
      <c r="F384" s="58"/>
      <c r="G384" s="58"/>
      <c r="H384" s="58"/>
      <c r="I384" s="58"/>
      <c r="J384" s="58"/>
      <c r="K384" s="58"/>
      <c r="L384" s="58"/>
      <c r="M384" s="58"/>
      <c r="N384" s="58"/>
      <c r="O384" s="60"/>
      <c r="P384" s="58"/>
      <c r="Q384" s="58"/>
      <c r="R384" s="59"/>
      <c r="T384" s="182"/>
      <c r="U384" s="182"/>
    </row>
    <row r="385" spans="2:21" ht="9.75" customHeight="1" x14ac:dyDescent="0.4">
      <c r="C385" s="17"/>
      <c r="D385" s="60" t="s">
        <v>369</v>
      </c>
      <c r="E385" s="60"/>
      <c r="F385" s="58"/>
      <c r="G385" s="58"/>
      <c r="H385" s="58"/>
      <c r="I385" s="58"/>
      <c r="J385" s="58"/>
      <c r="K385" s="58"/>
      <c r="L385" s="58"/>
      <c r="M385" s="58"/>
      <c r="N385" s="58"/>
      <c r="O385" s="60"/>
      <c r="P385" s="58"/>
      <c r="Q385" s="58"/>
      <c r="R385" s="59"/>
      <c r="T385" s="182"/>
      <c r="U385" s="182"/>
    </row>
    <row r="386" spans="2:21" ht="9.75" customHeight="1" x14ac:dyDescent="0.4">
      <c r="C386" s="27"/>
      <c r="D386" s="60" t="s">
        <v>369</v>
      </c>
      <c r="E386" s="60"/>
      <c r="F386" s="58"/>
      <c r="G386" s="58"/>
      <c r="H386" s="58"/>
      <c r="I386" s="58"/>
      <c r="J386" s="58"/>
      <c r="K386" s="58"/>
      <c r="L386" s="58"/>
      <c r="M386" s="58"/>
      <c r="N386" s="58"/>
      <c r="O386" s="60"/>
      <c r="P386" s="58"/>
      <c r="Q386" s="58"/>
      <c r="R386" s="59"/>
      <c r="T386" s="182"/>
      <c r="U386" s="182"/>
    </row>
    <row r="387" spans="2:21" ht="9.75" customHeight="1" x14ac:dyDescent="0.4">
      <c r="C387" s="27"/>
      <c r="D387" s="60" t="s">
        <v>308</v>
      </c>
      <c r="E387" s="60"/>
      <c r="F387" s="58"/>
      <c r="G387" s="58"/>
      <c r="H387" s="58"/>
      <c r="I387" s="58"/>
      <c r="J387" s="58"/>
      <c r="K387" s="58"/>
      <c r="L387" s="58"/>
      <c r="M387" s="58"/>
      <c r="N387" s="58"/>
      <c r="O387" s="60"/>
      <c r="P387" s="58"/>
      <c r="Q387" s="58"/>
      <c r="R387" s="59"/>
      <c r="T387" s="182"/>
      <c r="U387" s="182"/>
    </row>
    <row r="388" spans="2:21" ht="9.75" customHeight="1" x14ac:dyDescent="0.4">
      <c r="C388" s="27"/>
      <c r="D388" s="60" t="s">
        <v>374</v>
      </c>
      <c r="E388" s="60"/>
      <c r="F388" s="58"/>
      <c r="G388" s="58"/>
      <c r="H388" s="58"/>
      <c r="I388" s="58"/>
      <c r="J388" s="58"/>
      <c r="K388" s="58"/>
      <c r="L388" s="58"/>
      <c r="M388" s="58"/>
      <c r="N388" s="58"/>
      <c r="O388" s="60"/>
      <c r="P388" s="58"/>
      <c r="Q388" s="58"/>
      <c r="R388" s="59"/>
      <c r="T388" s="182"/>
      <c r="U388" s="182"/>
    </row>
    <row r="389" spans="2:21" ht="9.75" customHeight="1" x14ac:dyDescent="0.4">
      <c r="C389" s="27"/>
      <c r="D389" s="60" t="s">
        <v>374</v>
      </c>
      <c r="E389" s="60"/>
      <c r="F389" s="58"/>
      <c r="G389" s="58"/>
      <c r="H389" s="58"/>
      <c r="I389" s="58"/>
      <c r="J389" s="58"/>
      <c r="K389" s="58"/>
      <c r="L389" s="58"/>
      <c r="M389" s="58"/>
      <c r="N389" s="58"/>
      <c r="O389" s="60"/>
      <c r="P389" s="58"/>
      <c r="Q389" s="58"/>
      <c r="R389" s="59"/>
      <c r="T389" s="182"/>
      <c r="U389" s="182"/>
    </row>
    <row r="390" spans="2:21" ht="9.75" customHeight="1" x14ac:dyDescent="0.4">
      <c r="C390" s="27"/>
      <c r="D390" s="60" t="s">
        <v>374</v>
      </c>
      <c r="E390" s="60"/>
      <c r="F390" s="58"/>
      <c r="G390" s="58"/>
      <c r="H390" s="58"/>
      <c r="I390" s="58"/>
      <c r="J390" s="58"/>
      <c r="K390" s="58"/>
      <c r="L390" s="58"/>
      <c r="M390" s="58"/>
      <c r="N390" s="58"/>
      <c r="O390" s="60"/>
      <c r="P390" s="58"/>
      <c r="Q390" s="58"/>
      <c r="R390" s="59"/>
      <c r="T390" s="182"/>
      <c r="U390" s="182"/>
    </row>
    <row r="391" spans="2:21" ht="9.75" customHeight="1" x14ac:dyDescent="0.4">
      <c r="C391" s="27"/>
      <c r="D391" s="60" t="s">
        <v>374</v>
      </c>
      <c r="E391" s="60"/>
      <c r="F391" s="58"/>
      <c r="G391" s="58"/>
      <c r="H391" s="58"/>
      <c r="I391" s="58"/>
      <c r="J391" s="58"/>
      <c r="K391" s="58"/>
      <c r="L391" s="58"/>
      <c r="M391" s="58"/>
      <c r="N391" s="58"/>
      <c r="O391" s="60"/>
      <c r="P391" s="58"/>
      <c r="Q391" s="58"/>
      <c r="R391" s="59"/>
      <c r="T391" s="182"/>
      <c r="U391" s="182"/>
    </row>
    <row r="392" spans="2:21" ht="9.75" customHeight="1" x14ac:dyDescent="0.4">
      <c r="C392" s="27"/>
      <c r="D392" s="60" t="s">
        <v>374</v>
      </c>
      <c r="E392" s="60"/>
      <c r="F392" s="58"/>
      <c r="G392" s="58"/>
      <c r="H392" s="58"/>
      <c r="I392" s="58"/>
      <c r="J392" s="58"/>
      <c r="K392" s="58"/>
      <c r="L392" s="58"/>
      <c r="M392" s="58"/>
      <c r="N392" s="58"/>
      <c r="O392" s="60"/>
      <c r="P392" s="58"/>
      <c r="Q392" s="58"/>
      <c r="R392" s="59"/>
      <c r="T392" s="182"/>
      <c r="U392" s="182"/>
    </row>
    <row r="393" spans="2:21" ht="9.75" customHeight="1" x14ac:dyDescent="0.4">
      <c r="C393" s="27"/>
      <c r="D393" s="60" t="s">
        <v>374</v>
      </c>
      <c r="E393" s="60"/>
      <c r="F393" s="58"/>
      <c r="G393" s="58"/>
      <c r="H393" s="58"/>
      <c r="I393" s="58"/>
      <c r="J393" s="58"/>
      <c r="K393" s="58"/>
      <c r="L393" s="58"/>
      <c r="M393" s="58"/>
      <c r="N393" s="58"/>
      <c r="O393" s="60"/>
      <c r="P393" s="58"/>
      <c r="Q393" s="58"/>
      <c r="R393" s="59"/>
      <c r="T393" s="182"/>
      <c r="U393" s="182"/>
    </row>
    <row r="394" spans="2:21" ht="9.75" customHeight="1" x14ac:dyDescent="0.4">
      <c r="C394" s="27"/>
      <c r="D394" s="60" t="s">
        <v>310</v>
      </c>
      <c r="E394" s="60"/>
      <c r="F394" s="58"/>
      <c r="G394" s="58"/>
      <c r="H394" s="58"/>
      <c r="I394" s="58"/>
      <c r="J394" s="58"/>
      <c r="K394" s="58"/>
      <c r="L394" s="58"/>
      <c r="M394" s="58"/>
      <c r="N394" s="58"/>
      <c r="O394" s="60"/>
      <c r="P394" s="58"/>
      <c r="Q394" s="58"/>
      <c r="R394" s="59"/>
      <c r="T394" s="182"/>
      <c r="U394" s="182"/>
    </row>
    <row r="395" spans="2:21" ht="9.75" customHeight="1" x14ac:dyDescent="0.4">
      <c r="C395" s="27"/>
      <c r="D395" s="60" t="s">
        <v>311</v>
      </c>
      <c r="E395" s="60"/>
      <c r="F395" s="58"/>
      <c r="G395" s="58"/>
      <c r="H395" s="58"/>
      <c r="I395" s="58"/>
      <c r="J395" s="58"/>
      <c r="K395" s="58"/>
      <c r="L395" s="58"/>
      <c r="M395" s="58"/>
      <c r="N395" s="58"/>
      <c r="O395" s="60"/>
      <c r="P395" s="58"/>
      <c r="Q395" s="58"/>
      <c r="R395" s="59"/>
      <c r="T395" s="182"/>
      <c r="U395" s="182"/>
    </row>
    <row r="396" spans="2:21" ht="9.75" customHeight="1" x14ac:dyDescent="0.4">
      <c r="C396" s="27"/>
      <c r="D396" s="60" t="s">
        <v>312</v>
      </c>
      <c r="E396" s="60"/>
      <c r="F396" s="58"/>
      <c r="G396" s="58"/>
      <c r="H396" s="58"/>
      <c r="I396" s="58"/>
      <c r="J396" s="58"/>
      <c r="K396" s="58"/>
      <c r="L396" s="58"/>
      <c r="M396" s="58"/>
      <c r="N396" s="58"/>
      <c r="O396" s="60"/>
      <c r="P396" s="58"/>
      <c r="Q396" s="58"/>
      <c r="R396" s="59"/>
      <c r="T396" s="182"/>
      <c r="U396" s="182"/>
    </row>
    <row r="397" spans="2:21" ht="9.75" customHeight="1" x14ac:dyDescent="0.4">
      <c r="C397" s="27"/>
      <c r="D397" s="64" t="s">
        <v>313</v>
      </c>
      <c r="E397" s="64"/>
      <c r="F397" s="63"/>
      <c r="G397" s="63"/>
      <c r="H397" s="63"/>
      <c r="I397" s="63"/>
      <c r="J397" s="63"/>
      <c r="K397" s="63"/>
      <c r="L397" s="63"/>
      <c r="M397" s="63"/>
      <c r="N397" s="63"/>
      <c r="O397" s="64"/>
      <c r="P397" s="63"/>
      <c r="Q397" s="63"/>
      <c r="R397" s="407"/>
      <c r="T397" s="182"/>
      <c r="U397" s="182"/>
    </row>
    <row r="398" spans="2:21" ht="9.75" customHeight="1" x14ac:dyDescent="0.4">
      <c r="B398" s="219" t="s">
        <v>395</v>
      </c>
      <c r="C398" s="125"/>
      <c r="D398" s="69" t="s">
        <v>314</v>
      </c>
      <c r="E398" s="408">
        <f t="shared" ref="E398:O398" si="47">SUM(E382:E397)</f>
        <v>85</v>
      </c>
      <c r="F398" s="409">
        <f t="shared" si="47"/>
        <v>11</v>
      </c>
      <c r="G398" s="409">
        <f t="shared" si="47"/>
        <v>2</v>
      </c>
      <c r="H398" s="409">
        <f t="shared" si="47"/>
        <v>1</v>
      </c>
      <c r="I398" s="409">
        <f t="shared" si="47"/>
        <v>0</v>
      </c>
      <c r="J398" s="409">
        <f t="shared" si="47"/>
        <v>0</v>
      </c>
      <c r="K398" s="409">
        <f t="shared" si="47"/>
        <v>4</v>
      </c>
      <c r="L398" s="409">
        <f t="shared" si="47"/>
        <v>4</v>
      </c>
      <c r="M398" s="409">
        <f t="shared" si="47"/>
        <v>15</v>
      </c>
      <c r="N398" s="409">
        <f t="shared" si="47"/>
        <v>28</v>
      </c>
      <c r="O398" s="408">
        <f t="shared" si="47"/>
        <v>49</v>
      </c>
      <c r="P398" s="409">
        <f>MIN(F398:O398)</f>
        <v>0</v>
      </c>
      <c r="Q398" s="409">
        <f>E398-P398</f>
        <v>85</v>
      </c>
      <c r="R398" s="410">
        <f>Q398/E398</f>
        <v>1</v>
      </c>
      <c r="T398" s="182"/>
      <c r="U398" s="182"/>
    </row>
    <row r="399" spans="2:21" ht="9.75" customHeight="1" x14ac:dyDescent="0.4">
      <c r="C399" s="27" t="s">
        <v>235</v>
      </c>
      <c r="D399" s="60" t="s">
        <v>300</v>
      </c>
      <c r="E399" s="60"/>
      <c r="F399" s="58"/>
      <c r="G399" s="58"/>
      <c r="H399" s="58"/>
      <c r="I399" s="58"/>
      <c r="J399" s="58"/>
      <c r="K399" s="58"/>
      <c r="L399" s="58"/>
      <c r="M399" s="58"/>
      <c r="N399" s="58"/>
      <c r="O399" s="60"/>
      <c r="P399" s="58"/>
      <c r="Q399" s="58"/>
      <c r="R399" s="59"/>
      <c r="T399" s="182"/>
      <c r="U399" s="182"/>
    </row>
    <row r="400" spans="2:21" ht="9.75" customHeight="1" x14ac:dyDescent="0.4">
      <c r="C400" s="17"/>
      <c r="D400" s="60" t="s">
        <v>301</v>
      </c>
      <c r="E400" s="123">
        <v>91</v>
      </c>
      <c r="F400" s="74">
        <v>11</v>
      </c>
      <c r="G400" s="74">
        <v>3</v>
      </c>
      <c r="H400" s="74">
        <v>1</v>
      </c>
      <c r="I400" s="74">
        <v>0</v>
      </c>
      <c r="J400" s="74">
        <v>0</v>
      </c>
      <c r="K400" s="74">
        <v>0</v>
      </c>
      <c r="L400" s="74">
        <v>7</v>
      </c>
      <c r="M400" s="74">
        <v>3</v>
      </c>
      <c r="N400" s="74">
        <v>17</v>
      </c>
      <c r="O400" s="123">
        <v>25</v>
      </c>
      <c r="P400" s="74">
        <f>MIN(F400:O400)</f>
        <v>0</v>
      </c>
      <c r="Q400" s="74">
        <f>E400-P400</f>
        <v>91</v>
      </c>
      <c r="R400" s="75">
        <f>Q400/E400</f>
        <v>1</v>
      </c>
      <c r="T400" s="182"/>
      <c r="U400" s="182"/>
    </row>
    <row r="401" spans="2:21" ht="9.75" customHeight="1" x14ac:dyDescent="0.4">
      <c r="C401" s="17"/>
      <c r="D401" s="60" t="s">
        <v>303</v>
      </c>
      <c r="E401" s="60"/>
      <c r="F401" s="58"/>
      <c r="G401" s="58"/>
      <c r="H401" s="58"/>
      <c r="I401" s="58"/>
      <c r="J401" s="58"/>
      <c r="K401" s="58"/>
      <c r="L401" s="58"/>
      <c r="M401" s="58"/>
      <c r="N401" s="58"/>
      <c r="O401" s="60"/>
      <c r="P401" s="58"/>
      <c r="Q401" s="58"/>
      <c r="R401" s="59"/>
      <c r="T401" s="182"/>
      <c r="U401" s="182"/>
    </row>
    <row r="402" spans="2:21" ht="9.75" customHeight="1" x14ac:dyDescent="0.4">
      <c r="C402" s="17"/>
      <c r="D402" s="60" t="s">
        <v>369</v>
      </c>
      <c r="E402" s="60"/>
      <c r="F402" s="58"/>
      <c r="G402" s="58"/>
      <c r="H402" s="58"/>
      <c r="I402" s="58"/>
      <c r="J402" s="58"/>
      <c r="K402" s="58"/>
      <c r="L402" s="58"/>
      <c r="M402" s="58"/>
      <c r="N402" s="58"/>
      <c r="O402" s="60"/>
      <c r="P402" s="58"/>
      <c r="Q402" s="58"/>
      <c r="R402" s="59"/>
      <c r="T402" s="182"/>
      <c r="U402" s="182"/>
    </row>
    <row r="403" spans="2:21" ht="9.75" customHeight="1" x14ac:dyDescent="0.4">
      <c r="C403" s="27"/>
      <c r="D403" s="60" t="s">
        <v>369</v>
      </c>
      <c r="E403" s="60"/>
      <c r="F403" s="58"/>
      <c r="G403" s="58"/>
      <c r="H403" s="58"/>
      <c r="I403" s="58"/>
      <c r="J403" s="58"/>
      <c r="K403" s="58"/>
      <c r="L403" s="58"/>
      <c r="M403" s="58"/>
      <c r="N403" s="58"/>
      <c r="O403" s="60"/>
      <c r="P403" s="58"/>
      <c r="Q403" s="58"/>
      <c r="R403" s="59"/>
      <c r="T403" s="182"/>
      <c r="U403" s="182"/>
    </row>
    <row r="404" spans="2:21" ht="9.75" customHeight="1" x14ac:dyDescent="0.4">
      <c r="C404" s="27"/>
      <c r="D404" s="60" t="s">
        <v>308</v>
      </c>
      <c r="E404" s="60"/>
      <c r="F404" s="58"/>
      <c r="G404" s="58"/>
      <c r="H404" s="58"/>
      <c r="I404" s="58"/>
      <c r="J404" s="58"/>
      <c r="K404" s="58"/>
      <c r="L404" s="58"/>
      <c r="M404" s="58"/>
      <c r="N404" s="58"/>
      <c r="O404" s="60"/>
      <c r="P404" s="58"/>
      <c r="Q404" s="58"/>
      <c r="R404" s="59"/>
      <c r="T404" s="182"/>
      <c r="U404" s="182"/>
    </row>
    <row r="405" spans="2:21" ht="9.75" customHeight="1" x14ac:dyDescent="0.4">
      <c r="C405" s="27"/>
      <c r="D405" s="60" t="s">
        <v>374</v>
      </c>
      <c r="E405" s="60"/>
      <c r="F405" s="58"/>
      <c r="G405" s="58"/>
      <c r="H405" s="58"/>
      <c r="I405" s="58"/>
      <c r="J405" s="58"/>
      <c r="K405" s="58"/>
      <c r="L405" s="58"/>
      <c r="M405" s="58"/>
      <c r="N405" s="58"/>
      <c r="O405" s="60"/>
      <c r="P405" s="58"/>
      <c r="Q405" s="58"/>
      <c r="R405" s="59"/>
      <c r="T405" s="182"/>
      <c r="U405" s="182"/>
    </row>
    <row r="406" spans="2:21" ht="9.75" customHeight="1" x14ac:dyDescent="0.4">
      <c r="C406" s="27"/>
      <c r="D406" s="60" t="s">
        <v>374</v>
      </c>
      <c r="E406" s="60"/>
      <c r="F406" s="58"/>
      <c r="G406" s="58"/>
      <c r="H406" s="58"/>
      <c r="I406" s="58"/>
      <c r="J406" s="58"/>
      <c r="K406" s="58"/>
      <c r="L406" s="58"/>
      <c r="M406" s="58"/>
      <c r="N406" s="58"/>
      <c r="O406" s="60"/>
      <c r="P406" s="58"/>
      <c r="Q406" s="58"/>
      <c r="R406" s="59"/>
      <c r="T406" s="182"/>
      <c r="U406" s="182"/>
    </row>
    <row r="407" spans="2:21" ht="9.75" customHeight="1" x14ac:dyDescent="0.4">
      <c r="C407" s="27"/>
      <c r="D407" s="60" t="s">
        <v>374</v>
      </c>
      <c r="E407" s="60"/>
      <c r="F407" s="58"/>
      <c r="G407" s="58"/>
      <c r="H407" s="58"/>
      <c r="I407" s="58"/>
      <c r="J407" s="58"/>
      <c r="K407" s="58"/>
      <c r="L407" s="58"/>
      <c r="M407" s="58"/>
      <c r="N407" s="58"/>
      <c r="O407" s="60"/>
      <c r="P407" s="58"/>
      <c r="Q407" s="58"/>
      <c r="R407" s="59"/>
      <c r="T407" s="182"/>
      <c r="U407" s="182"/>
    </row>
    <row r="408" spans="2:21" ht="9.75" customHeight="1" x14ac:dyDescent="0.4">
      <c r="C408" s="27"/>
      <c r="D408" s="60" t="s">
        <v>374</v>
      </c>
      <c r="E408" s="60"/>
      <c r="F408" s="58"/>
      <c r="G408" s="58"/>
      <c r="H408" s="58"/>
      <c r="I408" s="58"/>
      <c r="J408" s="58"/>
      <c r="K408" s="58"/>
      <c r="L408" s="58"/>
      <c r="M408" s="58"/>
      <c r="N408" s="58"/>
      <c r="O408" s="60"/>
      <c r="P408" s="58"/>
      <c r="Q408" s="58"/>
      <c r="R408" s="59"/>
      <c r="T408" s="182"/>
      <c r="U408" s="182"/>
    </row>
    <row r="409" spans="2:21" ht="9.75" customHeight="1" x14ac:dyDescent="0.4">
      <c r="C409" s="27"/>
      <c r="D409" s="60" t="s">
        <v>374</v>
      </c>
      <c r="E409" s="60"/>
      <c r="F409" s="58"/>
      <c r="G409" s="58"/>
      <c r="H409" s="58"/>
      <c r="I409" s="58"/>
      <c r="J409" s="58"/>
      <c r="K409" s="58"/>
      <c r="L409" s="58"/>
      <c r="M409" s="58"/>
      <c r="N409" s="58"/>
      <c r="O409" s="60"/>
      <c r="P409" s="58"/>
      <c r="Q409" s="58"/>
      <c r="R409" s="59"/>
      <c r="T409" s="182"/>
      <c r="U409" s="182"/>
    </row>
    <row r="410" spans="2:21" ht="9.75" customHeight="1" x14ac:dyDescent="0.4">
      <c r="C410" s="27"/>
      <c r="D410" s="60" t="s">
        <v>374</v>
      </c>
      <c r="E410" s="60"/>
      <c r="F410" s="58"/>
      <c r="G410" s="58"/>
      <c r="H410" s="58"/>
      <c r="I410" s="58"/>
      <c r="J410" s="58"/>
      <c r="K410" s="58"/>
      <c r="L410" s="58"/>
      <c r="M410" s="58"/>
      <c r="N410" s="58"/>
      <c r="O410" s="60"/>
      <c r="P410" s="58"/>
      <c r="Q410" s="58"/>
      <c r="R410" s="59"/>
      <c r="T410" s="182"/>
      <c r="U410" s="182"/>
    </row>
    <row r="411" spans="2:21" ht="9.75" customHeight="1" x14ac:dyDescent="0.4">
      <c r="C411" s="27"/>
      <c r="D411" s="60" t="s">
        <v>310</v>
      </c>
      <c r="E411" s="60"/>
      <c r="F411" s="58"/>
      <c r="G411" s="58"/>
      <c r="H411" s="58"/>
      <c r="I411" s="58"/>
      <c r="J411" s="58"/>
      <c r="K411" s="58"/>
      <c r="L411" s="58"/>
      <c r="M411" s="58"/>
      <c r="N411" s="58"/>
      <c r="O411" s="60"/>
      <c r="P411" s="58"/>
      <c r="Q411" s="58"/>
      <c r="R411" s="59"/>
      <c r="T411" s="182"/>
      <c r="U411" s="182"/>
    </row>
    <row r="412" spans="2:21" ht="9.75" customHeight="1" x14ac:dyDescent="0.4">
      <c r="C412" s="27"/>
      <c r="D412" s="60" t="s">
        <v>311</v>
      </c>
      <c r="E412" s="60"/>
      <c r="F412" s="58"/>
      <c r="G412" s="58"/>
      <c r="H412" s="58"/>
      <c r="I412" s="58"/>
      <c r="J412" s="58"/>
      <c r="K412" s="58"/>
      <c r="L412" s="58"/>
      <c r="M412" s="58"/>
      <c r="N412" s="58"/>
      <c r="O412" s="60"/>
      <c r="P412" s="58"/>
      <c r="Q412" s="58"/>
      <c r="R412" s="59"/>
      <c r="T412" s="182"/>
      <c r="U412" s="182"/>
    </row>
    <row r="413" spans="2:21" ht="9.75" customHeight="1" x14ac:dyDescent="0.4">
      <c r="C413" s="27"/>
      <c r="D413" s="60" t="s">
        <v>312</v>
      </c>
      <c r="E413" s="60"/>
      <c r="F413" s="58"/>
      <c r="G413" s="58"/>
      <c r="H413" s="58"/>
      <c r="I413" s="58"/>
      <c r="J413" s="58"/>
      <c r="K413" s="58"/>
      <c r="L413" s="58"/>
      <c r="M413" s="58"/>
      <c r="N413" s="58"/>
      <c r="O413" s="60"/>
      <c r="P413" s="58"/>
      <c r="Q413" s="58"/>
      <c r="R413" s="59"/>
      <c r="T413" s="182"/>
      <c r="U413" s="182"/>
    </row>
    <row r="414" spans="2:21" ht="9.75" customHeight="1" x14ac:dyDescent="0.4">
      <c r="C414" s="27"/>
      <c r="D414" s="64" t="s">
        <v>313</v>
      </c>
      <c r="E414" s="64"/>
      <c r="F414" s="63"/>
      <c r="G414" s="63"/>
      <c r="H414" s="63"/>
      <c r="I414" s="63"/>
      <c r="J414" s="63"/>
      <c r="K414" s="63"/>
      <c r="L414" s="63"/>
      <c r="M414" s="63"/>
      <c r="N414" s="63"/>
      <c r="O414" s="64"/>
      <c r="P414" s="63"/>
      <c r="Q414" s="63"/>
      <c r="R414" s="407"/>
      <c r="T414" s="182"/>
      <c r="U414" s="182"/>
    </row>
    <row r="415" spans="2:21" ht="9.75" customHeight="1" x14ac:dyDescent="0.4">
      <c r="B415" s="219" t="s">
        <v>395</v>
      </c>
      <c r="C415" s="125"/>
      <c r="D415" s="69" t="s">
        <v>314</v>
      </c>
      <c r="E415" s="408">
        <f t="shared" ref="E415:O415" si="48">SUM(E399:E414)</f>
        <v>91</v>
      </c>
      <c r="F415" s="409">
        <f t="shared" si="48"/>
        <v>11</v>
      </c>
      <c r="G415" s="409">
        <f t="shared" si="48"/>
        <v>3</v>
      </c>
      <c r="H415" s="409">
        <f t="shared" si="48"/>
        <v>1</v>
      </c>
      <c r="I415" s="409">
        <f t="shared" si="48"/>
        <v>0</v>
      </c>
      <c r="J415" s="409">
        <f t="shared" si="48"/>
        <v>0</v>
      </c>
      <c r="K415" s="409">
        <f t="shared" si="48"/>
        <v>0</v>
      </c>
      <c r="L415" s="409">
        <f t="shared" si="48"/>
        <v>7</v>
      </c>
      <c r="M415" s="409">
        <f t="shared" si="48"/>
        <v>3</v>
      </c>
      <c r="N415" s="409">
        <f t="shared" si="48"/>
        <v>17</v>
      </c>
      <c r="O415" s="408">
        <f t="shared" si="48"/>
        <v>25</v>
      </c>
      <c r="P415" s="409">
        <f>MIN(F415:O415)</f>
        <v>0</v>
      </c>
      <c r="Q415" s="409">
        <f>E415-P415</f>
        <v>91</v>
      </c>
      <c r="R415" s="410">
        <f>Q415/E415</f>
        <v>1</v>
      </c>
      <c r="T415" s="182"/>
      <c r="U415" s="182"/>
    </row>
    <row r="416" spans="2:21" ht="9.75" customHeight="1" x14ac:dyDescent="0.4">
      <c r="C416" s="27" t="s">
        <v>236</v>
      </c>
      <c r="D416" s="60" t="s">
        <v>300</v>
      </c>
      <c r="E416" s="60"/>
      <c r="F416" s="58"/>
      <c r="G416" s="58"/>
      <c r="H416" s="58"/>
      <c r="I416" s="58"/>
      <c r="J416" s="58"/>
      <c r="K416" s="58"/>
      <c r="L416" s="58"/>
      <c r="M416" s="58"/>
      <c r="N416" s="58"/>
      <c r="O416" s="60"/>
      <c r="P416" s="58"/>
      <c r="Q416" s="58"/>
      <c r="R416" s="59"/>
      <c r="T416" s="182"/>
      <c r="U416" s="182"/>
    </row>
    <row r="417" spans="2:21" ht="9.75" customHeight="1" x14ac:dyDescent="0.4">
      <c r="C417" s="17"/>
      <c r="D417" s="60" t="s">
        <v>301</v>
      </c>
      <c r="E417" s="123">
        <v>28</v>
      </c>
      <c r="F417" s="74">
        <v>9</v>
      </c>
      <c r="G417" s="74">
        <v>3</v>
      </c>
      <c r="H417" s="74">
        <v>4</v>
      </c>
      <c r="I417" s="74">
        <v>2</v>
      </c>
      <c r="J417" s="74">
        <v>1</v>
      </c>
      <c r="K417" s="74">
        <v>0</v>
      </c>
      <c r="L417" s="74">
        <v>0</v>
      </c>
      <c r="M417" s="74">
        <v>3</v>
      </c>
      <c r="N417" s="74">
        <v>26</v>
      </c>
      <c r="O417" s="123">
        <v>30</v>
      </c>
      <c r="P417" s="74">
        <f>MIN(F417:O417)</f>
        <v>0</v>
      </c>
      <c r="Q417" s="74">
        <f>E417-P417</f>
        <v>28</v>
      </c>
      <c r="R417" s="75">
        <f>Q417/E417</f>
        <v>1</v>
      </c>
      <c r="T417" s="182"/>
      <c r="U417" s="182"/>
    </row>
    <row r="418" spans="2:21" ht="9.75" customHeight="1" x14ac:dyDescent="0.4">
      <c r="C418" s="17"/>
      <c r="D418" s="60" t="s">
        <v>303</v>
      </c>
      <c r="E418" s="60"/>
      <c r="F418" s="58"/>
      <c r="G418" s="58"/>
      <c r="H418" s="58"/>
      <c r="I418" s="58"/>
      <c r="J418" s="58"/>
      <c r="K418" s="58"/>
      <c r="L418" s="58"/>
      <c r="M418" s="58"/>
      <c r="N418" s="58"/>
      <c r="O418" s="60"/>
      <c r="P418" s="58"/>
      <c r="Q418" s="58"/>
      <c r="R418" s="59"/>
      <c r="T418" s="182"/>
      <c r="U418" s="182"/>
    </row>
    <row r="419" spans="2:21" ht="9.75" customHeight="1" x14ac:dyDescent="0.4">
      <c r="C419" s="17"/>
      <c r="D419" s="60" t="s">
        <v>369</v>
      </c>
      <c r="E419" s="60"/>
      <c r="F419" s="58"/>
      <c r="G419" s="58"/>
      <c r="H419" s="58"/>
      <c r="I419" s="58"/>
      <c r="J419" s="58"/>
      <c r="K419" s="58"/>
      <c r="L419" s="58"/>
      <c r="M419" s="58"/>
      <c r="N419" s="58"/>
      <c r="O419" s="60"/>
      <c r="P419" s="58"/>
      <c r="Q419" s="58"/>
      <c r="R419" s="59"/>
      <c r="T419" s="182"/>
      <c r="U419" s="182"/>
    </row>
    <row r="420" spans="2:21" ht="9.75" customHeight="1" x14ac:dyDescent="0.4">
      <c r="C420" s="27"/>
      <c r="D420" s="60" t="s">
        <v>369</v>
      </c>
      <c r="E420" s="60"/>
      <c r="F420" s="58"/>
      <c r="G420" s="58"/>
      <c r="H420" s="58"/>
      <c r="I420" s="58"/>
      <c r="J420" s="58"/>
      <c r="K420" s="58"/>
      <c r="L420" s="58"/>
      <c r="M420" s="58"/>
      <c r="N420" s="58"/>
      <c r="O420" s="60"/>
      <c r="P420" s="58"/>
      <c r="Q420" s="58"/>
      <c r="R420" s="59"/>
      <c r="T420" s="182"/>
      <c r="U420" s="182"/>
    </row>
    <row r="421" spans="2:21" ht="9.75" customHeight="1" x14ac:dyDescent="0.4">
      <c r="C421" s="27"/>
      <c r="D421" s="60" t="s">
        <v>308</v>
      </c>
      <c r="E421" s="60"/>
      <c r="F421" s="58"/>
      <c r="G421" s="58"/>
      <c r="H421" s="58"/>
      <c r="I421" s="58"/>
      <c r="J421" s="58"/>
      <c r="K421" s="58"/>
      <c r="L421" s="58"/>
      <c r="M421" s="58"/>
      <c r="N421" s="58"/>
      <c r="O421" s="60"/>
      <c r="P421" s="58"/>
      <c r="Q421" s="58"/>
      <c r="R421" s="59"/>
      <c r="T421" s="182"/>
      <c r="U421" s="182"/>
    </row>
    <row r="422" spans="2:21" ht="9.75" customHeight="1" x14ac:dyDescent="0.4">
      <c r="C422" s="27"/>
      <c r="D422" s="60" t="s">
        <v>374</v>
      </c>
      <c r="E422" s="60"/>
      <c r="F422" s="58"/>
      <c r="G422" s="58"/>
      <c r="H422" s="58"/>
      <c r="I422" s="58"/>
      <c r="J422" s="58"/>
      <c r="K422" s="58"/>
      <c r="L422" s="58"/>
      <c r="M422" s="58"/>
      <c r="N422" s="58"/>
      <c r="O422" s="60"/>
      <c r="P422" s="58"/>
      <c r="Q422" s="58"/>
      <c r="R422" s="59"/>
      <c r="T422" s="182"/>
      <c r="U422" s="182"/>
    </row>
    <row r="423" spans="2:21" ht="9.75" customHeight="1" x14ac:dyDescent="0.4">
      <c r="C423" s="27"/>
      <c r="D423" s="60" t="s">
        <v>374</v>
      </c>
      <c r="E423" s="60"/>
      <c r="F423" s="58"/>
      <c r="G423" s="58"/>
      <c r="H423" s="58"/>
      <c r="I423" s="58"/>
      <c r="J423" s="58"/>
      <c r="K423" s="58"/>
      <c r="L423" s="58"/>
      <c r="M423" s="58"/>
      <c r="N423" s="58"/>
      <c r="O423" s="60"/>
      <c r="P423" s="58"/>
      <c r="Q423" s="58"/>
      <c r="R423" s="59"/>
      <c r="T423" s="182"/>
      <c r="U423" s="182"/>
    </row>
    <row r="424" spans="2:21" ht="9.75" customHeight="1" x14ac:dyDescent="0.4">
      <c r="C424" s="27"/>
      <c r="D424" s="60" t="s">
        <v>374</v>
      </c>
      <c r="E424" s="60"/>
      <c r="F424" s="58"/>
      <c r="G424" s="58"/>
      <c r="H424" s="58"/>
      <c r="I424" s="58"/>
      <c r="J424" s="58"/>
      <c r="K424" s="58"/>
      <c r="L424" s="58"/>
      <c r="M424" s="58"/>
      <c r="N424" s="58"/>
      <c r="O424" s="60"/>
      <c r="P424" s="58"/>
      <c r="Q424" s="58"/>
      <c r="R424" s="59"/>
      <c r="T424" s="182"/>
      <c r="U424" s="182"/>
    </row>
    <row r="425" spans="2:21" ht="9.75" customHeight="1" x14ac:dyDescent="0.4">
      <c r="C425" s="27"/>
      <c r="D425" s="60" t="s">
        <v>374</v>
      </c>
      <c r="E425" s="60"/>
      <c r="F425" s="58"/>
      <c r="G425" s="58"/>
      <c r="H425" s="58"/>
      <c r="I425" s="58"/>
      <c r="J425" s="58"/>
      <c r="K425" s="58"/>
      <c r="L425" s="58"/>
      <c r="M425" s="58"/>
      <c r="N425" s="58"/>
      <c r="O425" s="60"/>
      <c r="P425" s="58"/>
      <c r="Q425" s="58"/>
      <c r="R425" s="59"/>
      <c r="T425" s="182"/>
      <c r="U425" s="182"/>
    </row>
    <row r="426" spans="2:21" ht="9.75" customHeight="1" x14ac:dyDescent="0.4">
      <c r="C426" s="27"/>
      <c r="D426" s="60" t="s">
        <v>374</v>
      </c>
      <c r="E426" s="60"/>
      <c r="F426" s="58"/>
      <c r="G426" s="58"/>
      <c r="H426" s="58"/>
      <c r="I426" s="58"/>
      <c r="J426" s="58"/>
      <c r="K426" s="58"/>
      <c r="L426" s="58"/>
      <c r="M426" s="58"/>
      <c r="N426" s="58"/>
      <c r="O426" s="60"/>
      <c r="P426" s="58"/>
      <c r="Q426" s="58"/>
      <c r="R426" s="59"/>
      <c r="T426" s="182"/>
      <c r="U426" s="182"/>
    </row>
    <row r="427" spans="2:21" ht="9.75" customHeight="1" x14ac:dyDescent="0.4">
      <c r="C427" s="27"/>
      <c r="D427" s="60" t="s">
        <v>374</v>
      </c>
      <c r="E427" s="60"/>
      <c r="F427" s="58"/>
      <c r="G427" s="58"/>
      <c r="H427" s="58"/>
      <c r="I427" s="58"/>
      <c r="J427" s="58"/>
      <c r="K427" s="58"/>
      <c r="L427" s="58"/>
      <c r="M427" s="58"/>
      <c r="N427" s="58"/>
      <c r="O427" s="60"/>
      <c r="P427" s="58"/>
      <c r="Q427" s="58"/>
      <c r="R427" s="59"/>
      <c r="T427" s="182"/>
      <c r="U427" s="182"/>
    </row>
    <row r="428" spans="2:21" ht="9.75" customHeight="1" x14ac:dyDescent="0.4">
      <c r="C428" s="27"/>
      <c r="D428" s="60" t="s">
        <v>310</v>
      </c>
      <c r="E428" s="60"/>
      <c r="F428" s="58"/>
      <c r="G428" s="58"/>
      <c r="H428" s="58"/>
      <c r="I428" s="58"/>
      <c r="J428" s="58"/>
      <c r="K428" s="58"/>
      <c r="L428" s="58"/>
      <c r="M428" s="58"/>
      <c r="N428" s="58"/>
      <c r="O428" s="60"/>
      <c r="P428" s="58"/>
      <c r="Q428" s="58"/>
      <c r="R428" s="59"/>
      <c r="T428" s="182"/>
      <c r="U428" s="182"/>
    </row>
    <row r="429" spans="2:21" ht="9.75" customHeight="1" x14ac:dyDescent="0.4">
      <c r="C429" s="27"/>
      <c r="D429" s="60" t="s">
        <v>311</v>
      </c>
      <c r="E429" s="60"/>
      <c r="F429" s="58"/>
      <c r="G429" s="58"/>
      <c r="H429" s="58"/>
      <c r="I429" s="58"/>
      <c r="J429" s="58"/>
      <c r="K429" s="58"/>
      <c r="L429" s="58"/>
      <c r="M429" s="58"/>
      <c r="N429" s="58"/>
      <c r="O429" s="60"/>
      <c r="P429" s="58"/>
      <c r="Q429" s="58"/>
      <c r="R429" s="59"/>
      <c r="T429" s="182"/>
      <c r="U429" s="182"/>
    </row>
    <row r="430" spans="2:21" ht="9.75" customHeight="1" x14ac:dyDescent="0.4">
      <c r="C430" s="27"/>
      <c r="D430" s="60" t="s">
        <v>312</v>
      </c>
      <c r="E430" s="60"/>
      <c r="F430" s="58"/>
      <c r="G430" s="58"/>
      <c r="H430" s="58"/>
      <c r="I430" s="58"/>
      <c r="J430" s="58"/>
      <c r="K430" s="58"/>
      <c r="L430" s="58"/>
      <c r="M430" s="58"/>
      <c r="N430" s="58"/>
      <c r="O430" s="60"/>
      <c r="P430" s="58"/>
      <c r="Q430" s="58"/>
      <c r="R430" s="59"/>
      <c r="T430" s="182"/>
      <c r="U430" s="182"/>
    </row>
    <row r="431" spans="2:21" ht="9.75" customHeight="1" x14ac:dyDescent="0.4">
      <c r="C431" s="27"/>
      <c r="D431" s="64" t="s">
        <v>313</v>
      </c>
      <c r="E431" s="64"/>
      <c r="F431" s="63"/>
      <c r="G431" s="63"/>
      <c r="H431" s="63"/>
      <c r="I431" s="63"/>
      <c r="J431" s="63"/>
      <c r="K431" s="63"/>
      <c r="L431" s="63"/>
      <c r="M431" s="63"/>
      <c r="N431" s="63"/>
      <c r="O431" s="64"/>
      <c r="P431" s="63"/>
      <c r="Q431" s="63"/>
      <c r="R431" s="407"/>
      <c r="T431" s="182"/>
      <c r="U431" s="182"/>
    </row>
    <row r="432" spans="2:21" ht="9.75" customHeight="1" x14ac:dyDescent="0.4">
      <c r="B432" s="219" t="s">
        <v>395</v>
      </c>
      <c r="C432" s="125"/>
      <c r="D432" s="69" t="s">
        <v>314</v>
      </c>
      <c r="E432" s="408">
        <f t="shared" ref="E432:O432" si="49">SUM(E416:E431)</f>
        <v>28</v>
      </c>
      <c r="F432" s="409">
        <f t="shared" si="49"/>
        <v>9</v>
      </c>
      <c r="G432" s="409">
        <f t="shared" si="49"/>
        <v>3</v>
      </c>
      <c r="H432" s="409">
        <f t="shared" si="49"/>
        <v>4</v>
      </c>
      <c r="I432" s="409">
        <f t="shared" si="49"/>
        <v>2</v>
      </c>
      <c r="J432" s="409">
        <f t="shared" si="49"/>
        <v>1</v>
      </c>
      <c r="K432" s="409">
        <f t="shared" si="49"/>
        <v>0</v>
      </c>
      <c r="L432" s="409">
        <f t="shared" si="49"/>
        <v>0</v>
      </c>
      <c r="M432" s="409">
        <f t="shared" si="49"/>
        <v>3</v>
      </c>
      <c r="N432" s="409">
        <f t="shared" si="49"/>
        <v>26</v>
      </c>
      <c r="O432" s="408">
        <f t="shared" si="49"/>
        <v>30</v>
      </c>
      <c r="P432" s="409">
        <f>MIN(F432:O432)</f>
        <v>0</v>
      </c>
      <c r="Q432" s="409">
        <f>E432-P432</f>
        <v>28</v>
      </c>
      <c r="R432" s="410">
        <f>Q432/E432</f>
        <v>1</v>
      </c>
      <c r="T432" s="182"/>
      <c r="U432" s="182"/>
    </row>
    <row r="433" spans="3:21" ht="9.75" customHeight="1" x14ac:dyDescent="0.4">
      <c r="C433" s="418" t="s">
        <v>67</v>
      </c>
      <c r="D433" s="139" t="s">
        <v>300</v>
      </c>
      <c r="E433" s="139"/>
      <c r="F433" s="138"/>
      <c r="G433" s="138"/>
      <c r="H433" s="138"/>
      <c r="I433" s="138"/>
      <c r="J433" s="138"/>
      <c r="K433" s="138"/>
      <c r="L433" s="138"/>
      <c r="M433" s="138"/>
      <c r="N433" s="138"/>
      <c r="O433" s="139"/>
      <c r="P433" s="138"/>
      <c r="Q433" s="138"/>
      <c r="R433" s="137"/>
      <c r="T433" s="182"/>
      <c r="U433" s="182"/>
    </row>
    <row r="434" spans="3:21" ht="9.75" customHeight="1" x14ac:dyDescent="0.4">
      <c r="C434" s="24"/>
      <c r="D434" s="139" t="s">
        <v>301</v>
      </c>
      <c r="E434" s="139"/>
      <c r="F434" s="138"/>
      <c r="G434" s="138"/>
      <c r="H434" s="138"/>
      <c r="I434" s="138"/>
      <c r="J434" s="138"/>
      <c r="K434" s="138"/>
      <c r="L434" s="138"/>
      <c r="M434" s="138"/>
      <c r="N434" s="138"/>
      <c r="O434" s="139"/>
      <c r="P434" s="138"/>
      <c r="Q434" s="138"/>
      <c r="R434" s="137"/>
      <c r="T434" s="182"/>
      <c r="U434" s="182"/>
    </row>
    <row r="435" spans="3:21" ht="9.75" customHeight="1" x14ac:dyDescent="0.4">
      <c r="C435" s="24" t="s">
        <v>330</v>
      </c>
      <c r="D435" s="139" t="s">
        <v>303</v>
      </c>
      <c r="E435" s="139"/>
      <c r="F435" s="138"/>
      <c r="G435" s="138"/>
      <c r="H435" s="138"/>
      <c r="I435" s="138"/>
      <c r="J435" s="138"/>
      <c r="K435" s="138"/>
      <c r="L435" s="138"/>
      <c r="M435" s="138"/>
      <c r="N435" s="138"/>
      <c r="O435" s="139"/>
      <c r="P435" s="138"/>
      <c r="Q435" s="138"/>
      <c r="R435" s="137"/>
      <c r="T435" s="182"/>
      <c r="U435" s="182"/>
    </row>
    <row r="436" spans="3:21" ht="9.75" customHeight="1" x14ac:dyDescent="0.4">
      <c r="C436" s="24" t="s">
        <v>397</v>
      </c>
      <c r="D436" s="139" t="s">
        <v>369</v>
      </c>
      <c r="E436" s="139"/>
      <c r="F436" s="138"/>
      <c r="G436" s="138"/>
      <c r="H436" s="138"/>
      <c r="I436" s="138"/>
      <c r="J436" s="138"/>
      <c r="K436" s="138"/>
      <c r="L436" s="138"/>
      <c r="M436" s="138"/>
      <c r="N436" s="138"/>
      <c r="O436" s="139"/>
      <c r="P436" s="138"/>
      <c r="Q436" s="138"/>
      <c r="R436" s="137"/>
      <c r="T436" s="182"/>
      <c r="U436" s="182"/>
    </row>
    <row r="437" spans="3:21" ht="9.75" customHeight="1" x14ac:dyDescent="0.4">
      <c r="C437" s="418" t="s">
        <v>332</v>
      </c>
      <c r="D437" s="139" t="s">
        <v>369</v>
      </c>
      <c r="E437" s="139"/>
      <c r="F437" s="138"/>
      <c r="G437" s="138"/>
      <c r="H437" s="138"/>
      <c r="I437" s="138"/>
      <c r="J437" s="138"/>
      <c r="K437" s="138"/>
      <c r="L437" s="138"/>
      <c r="M437" s="138"/>
      <c r="N437" s="138"/>
      <c r="O437" s="139"/>
      <c r="P437" s="138"/>
      <c r="Q437" s="138"/>
      <c r="R437" s="137"/>
      <c r="T437" s="182"/>
      <c r="U437" s="182"/>
    </row>
    <row r="438" spans="3:21" ht="9.75" customHeight="1" x14ac:dyDescent="0.4">
      <c r="C438" s="418"/>
      <c r="D438" s="139" t="s">
        <v>308</v>
      </c>
      <c r="E438" s="139"/>
      <c r="F438" s="138"/>
      <c r="G438" s="138"/>
      <c r="H438" s="138"/>
      <c r="I438" s="138"/>
      <c r="J438" s="138"/>
      <c r="K438" s="138"/>
      <c r="L438" s="138"/>
      <c r="M438" s="138"/>
      <c r="N438" s="138"/>
      <c r="O438" s="139"/>
      <c r="P438" s="138"/>
      <c r="Q438" s="138"/>
      <c r="R438" s="137"/>
      <c r="T438" s="182"/>
      <c r="U438" s="182"/>
    </row>
    <row r="439" spans="3:21" ht="9.75" customHeight="1" x14ac:dyDescent="0.4">
      <c r="C439" s="418"/>
      <c r="D439" s="139" t="s">
        <v>517</v>
      </c>
      <c r="E439" s="226"/>
      <c r="F439" s="225"/>
      <c r="G439" s="225"/>
      <c r="H439" s="225"/>
      <c r="I439" s="225"/>
      <c r="J439" s="225"/>
      <c r="K439" s="419"/>
      <c r="L439" s="419"/>
      <c r="M439" s="419"/>
      <c r="N439" s="419"/>
      <c r="O439" s="420"/>
      <c r="P439" s="225"/>
      <c r="Q439" s="225"/>
      <c r="R439" s="421"/>
      <c r="T439" s="182"/>
      <c r="U439" s="182"/>
    </row>
    <row r="440" spans="3:21" ht="9.75" customHeight="1" x14ac:dyDescent="0.4">
      <c r="C440" s="418"/>
      <c r="D440" s="139" t="s">
        <v>374</v>
      </c>
      <c r="E440" s="139"/>
      <c r="F440" s="138"/>
      <c r="G440" s="138"/>
      <c r="H440" s="138"/>
      <c r="I440" s="138"/>
      <c r="J440" s="138"/>
      <c r="K440" s="138"/>
      <c r="L440" s="138"/>
      <c r="M440" s="138"/>
      <c r="N440" s="138"/>
      <c r="O440" s="139"/>
      <c r="P440" s="138"/>
      <c r="Q440" s="138"/>
      <c r="R440" s="137"/>
      <c r="T440" s="182"/>
      <c r="U440" s="182"/>
    </row>
    <row r="441" spans="3:21" ht="9.75" customHeight="1" x14ac:dyDescent="0.4">
      <c r="C441" s="418"/>
      <c r="D441" s="139" t="s">
        <v>374</v>
      </c>
      <c r="E441" s="139"/>
      <c r="F441" s="138"/>
      <c r="G441" s="138"/>
      <c r="H441" s="138"/>
      <c r="I441" s="138"/>
      <c r="J441" s="138"/>
      <c r="K441" s="138"/>
      <c r="L441" s="138"/>
      <c r="M441" s="138"/>
      <c r="N441" s="138"/>
      <c r="O441" s="139"/>
      <c r="P441" s="138"/>
      <c r="Q441" s="138"/>
      <c r="R441" s="137"/>
      <c r="T441" s="182"/>
      <c r="U441" s="182"/>
    </row>
    <row r="442" spans="3:21" ht="9.75" customHeight="1" x14ac:dyDescent="0.4">
      <c r="C442" s="418"/>
      <c r="D442" s="139" t="s">
        <v>374</v>
      </c>
      <c r="E442" s="139"/>
      <c r="F442" s="138"/>
      <c r="G442" s="138"/>
      <c r="H442" s="138"/>
      <c r="I442" s="138"/>
      <c r="J442" s="138"/>
      <c r="K442" s="138"/>
      <c r="L442" s="138"/>
      <c r="M442" s="138"/>
      <c r="N442" s="138"/>
      <c r="O442" s="139"/>
      <c r="P442" s="138"/>
      <c r="Q442" s="138"/>
      <c r="R442" s="137"/>
      <c r="T442" s="182"/>
      <c r="U442" s="182"/>
    </row>
    <row r="443" spans="3:21" ht="9.75" customHeight="1" x14ac:dyDescent="0.4">
      <c r="C443" s="418"/>
      <c r="D443" s="139" t="s">
        <v>374</v>
      </c>
      <c r="E443" s="139"/>
      <c r="F443" s="138"/>
      <c r="G443" s="138"/>
      <c r="H443" s="138"/>
      <c r="I443" s="138"/>
      <c r="J443" s="138"/>
      <c r="K443" s="138"/>
      <c r="L443" s="138"/>
      <c r="M443" s="138"/>
      <c r="N443" s="138"/>
      <c r="O443" s="139"/>
      <c r="P443" s="138"/>
      <c r="Q443" s="138"/>
      <c r="R443" s="137"/>
      <c r="T443" s="182"/>
      <c r="U443" s="182"/>
    </row>
    <row r="444" spans="3:21" ht="9.75" customHeight="1" x14ac:dyDescent="0.4">
      <c r="C444" s="418"/>
      <c r="D444" s="139" t="s">
        <v>374</v>
      </c>
      <c r="E444" s="139"/>
      <c r="F444" s="138"/>
      <c r="G444" s="138"/>
      <c r="H444" s="138"/>
      <c r="I444" s="138"/>
      <c r="J444" s="138"/>
      <c r="K444" s="138"/>
      <c r="L444" s="138"/>
      <c r="M444" s="138"/>
      <c r="N444" s="138"/>
      <c r="O444" s="139"/>
      <c r="P444" s="138"/>
      <c r="Q444" s="138"/>
      <c r="R444" s="137"/>
      <c r="T444" s="182"/>
      <c r="U444" s="182"/>
    </row>
    <row r="445" spans="3:21" ht="9.75" customHeight="1" x14ac:dyDescent="0.4">
      <c r="C445" s="418"/>
      <c r="D445" s="139" t="s">
        <v>310</v>
      </c>
      <c r="E445" s="226"/>
      <c r="F445" s="225"/>
      <c r="G445" s="225"/>
      <c r="H445" s="225"/>
      <c r="I445" s="225"/>
      <c r="J445" s="225"/>
      <c r="K445" s="422"/>
      <c r="L445" s="422"/>
      <c r="M445" s="422"/>
      <c r="N445" s="422"/>
      <c r="O445" s="423"/>
      <c r="P445" s="225"/>
      <c r="Q445" s="225"/>
      <c r="R445" s="421"/>
      <c r="T445" s="182"/>
      <c r="U445" s="182"/>
    </row>
    <row r="446" spans="3:21" ht="9.75" customHeight="1" x14ac:dyDescent="0.4">
      <c r="C446" s="418"/>
      <c r="D446" s="139" t="s">
        <v>311</v>
      </c>
      <c r="E446" s="139"/>
      <c r="F446" s="138"/>
      <c r="G446" s="138"/>
      <c r="H446" s="138"/>
      <c r="I446" s="138"/>
      <c r="J446" s="138"/>
      <c r="K446" s="138"/>
      <c r="L446" s="138"/>
      <c r="M446" s="138"/>
      <c r="N446" s="138"/>
      <c r="O446" s="139"/>
      <c r="P446" s="138"/>
      <c r="Q446" s="138"/>
      <c r="R446" s="137"/>
      <c r="T446" s="182"/>
      <c r="U446" s="182"/>
    </row>
    <row r="447" spans="3:21" ht="9.75" customHeight="1" x14ac:dyDescent="0.4">
      <c r="C447" s="418"/>
      <c r="D447" s="139" t="s">
        <v>312</v>
      </c>
      <c r="E447" s="139"/>
      <c r="F447" s="138"/>
      <c r="G447" s="138"/>
      <c r="H447" s="138"/>
      <c r="I447" s="138"/>
      <c r="J447" s="138"/>
      <c r="K447" s="138"/>
      <c r="L447" s="138"/>
      <c r="M447" s="138"/>
      <c r="N447" s="138"/>
      <c r="O447" s="139"/>
      <c r="P447" s="138"/>
      <c r="Q447" s="138"/>
      <c r="R447" s="137"/>
      <c r="T447" s="182"/>
      <c r="U447" s="182"/>
    </row>
    <row r="448" spans="3:21" ht="9.75" customHeight="1" x14ac:dyDescent="0.4">
      <c r="C448" s="418"/>
      <c r="D448" s="424" t="s">
        <v>313</v>
      </c>
      <c r="E448" s="424"/>
      <c r="F448" s="425"/>
      <c r="G448" s="425"/>
      <c r="H448" s="425"/>
      <c r="I448" s="425"/>
      <c r="J448" s="425"/>
      <c r="K448" s="425"/>
      <c r="L448" s="425"/>
      <c r="M448" s="425"/>
      <c r="N448" s="425"/>
      <c r="O448" s="424"/>
      <c r="P448" s="425"/>
      <c r="Q448" s="425"/>
      <c r="R448" s="426"/>
      <c r="T448" s="182"/>
      <c r="U448" s="182"/>
    </row>
    <row r="449" spans="2:21" ht="9.75" customHeight="1" x14ac:dyDescent="0.4">
      <c r="B449" s="219" t="s">
        <v>395</v>
      </c>
      <c r="C449" s="427"/>
      <c r="D449" s="428" t="s">
        <v>314</v>
      </c>
      <c r="E449" s="429"/>
      <c r="F449" s="430"/>
      <c r="G449" s="430"/>
      <c r="H449" s="430"/>
      <c r="I449" s="430"/>
      <c r="J449" s="430"/>
      <c r="K449" s="430"/>
      <c r="L449" s="430"/>
      <c r="M449" s="430"/>
      <c r="N449" s="430"/>
      <c r="O449" s="429"/>
      <c r="P449" s="430"/>
      <c r="Q449" s="430"/>
      <c r="R449" s="431"/>
      <c r="T449" s="182"/>
      <c r="U449" s="182"/>
    </row>
    <row r="450" spans="2:21" ht="9.75" customHeight="1" x14ac:dyDescent="0.4">
      <c r="C450" s="418" t="s">
        <v>88</v>
      </c>
      <c r="D450" s="139" t="s">
        <v>300</v>
      </c>
      <c r="E450" s="226"/>
      <c r="F450" s="225"/>
      <c r="G450" s="225"/>
      <c r="H450" s="225"/>
      <c r="I450" s="225"/>
      <c r="J450" s="225"/>
      <c r="K450" s="225"/>
      <c r="L450" s="225"/>
      <c r="M450" s="225"/>
      <c r="N450" s="225"/>
      <c r="O450" s="226"/>
      <c r="P450" s="225"/>
      <c r="Q450" s="225"/>
      <c r="R450" s="421"/>
      <c r="T450" s="182"/>
      <c r="U450" s="182"/>
    </row>
    <row r="451" spans="2:21" ht="9.75" customHeight="1" x14ac:dyDescent="0.4">
      <c r="C451" s="24"/>
      <c r="D451" s="139" t="s">
        <v>301</v>
      </c>
      <c r="E451" s="226"/>
      <c r="F451" s="225"/>
      <c r="G451" s="225"/>
      <c r="H451" s="225"/>
      <c r="I451" s="225"/>
      <c r="J451" s="225"/>
      <c r="K451" s="225"/>
      <c r="L451" s="225"/>
      <c r="M451" s="225"/>
      <c r="N451" s="225"/>
      <c r="O451" s="226"/>
      <c r="P451" s="225"/>
      <c r="Q451" s="225"/>
      <c r="R451" s="421"/>
      <c r="T451" s="182"/>
      <c r="U451" s="182"/>
    </row>
    <row r="452" spans="2:21" ht="9.75" customHeight="1" x14ac:dyDescent="0.4">
      <c r="C452" s="24" t="s">
        <v>330</v>
      </c>
      <c r="D452" s="139" t="s">
        <v>303</v>
      </c>
      <c r="E452" s="139"/>
      <c r="F452" s="138"/>
      <c r="G452" s="138"/>
      <c r="H452" s="138"/>
      <c r="I452" s="138"/>
      <c r="J452" s="138"/>
      <c r="K452" s="138"/>
      <c r="L452" s="138"/>
      <c r="M452" s="138"/>
      <c r="N452" s="138"/>
      <c r="O452" s="139"/>
      <c r="P452" s="138"/>
      <c r="Q452" s="138"/>
      <c r="R452" s="137"/>
      <c r="T452" s="182"/>
      <c r="U452" s="182"/>
    </row>
    <row r="453" spans="2:21" ht="9.75" customHeight="1" x14ac:dyDescent="0.4">
      <c r="C453" s="24" t="s">
        <v>397</v>
      </c>
      <c r="D453" s="139" t="s">
        <v>369</v>
      </c>
      <c r="E453" s="139"/>
      <c r="F453" s="138"/>
      <c r="G453" s="138"/>
      <c r="H453" s="138"/>
      <c r="I453" s="138"/>
      <c r="J453" s="138"/>
      <c r="K453" s="138"/>
      <c r="L453" s="138"/>
      <c r="M453" s="138"/>
      <c r="N453" s="138"/>
      <c r="O453" s="139"/>
      <c r="P453" s="138"/>
      <c r="Q453" s="138"/>
      <c r="R453" s="137"/>
      <c r="T453" s="182"/>
      <c r="U453" s="182"/>
    </row>
    <row r="454" spans="2:21" ht="9.75" customHeight="1" x14ac:dyDescent="0.4">
      <c r="C454" s="418" t="s">
        <v>332</v>
      </c>
      <c r="D454" s="139" t="s">
        <v>369</v>
      </c>
      <c r="E454" s="139"/>
      <c r="F454" s="138"/>
      <c r="G454" s="138"/>
      <c r="H454" s="138"/>
      <c r="I454" s="138"/>
      <c r="J454" s="138"/>
      <c r="K454" s="138"/>
      <c r="L454" s="138"/>
      <c r="M454" s="138"/>
      <c r="N454" s="138"/>
      <c r="O454" s="139"/>
      <c r="P454" s="138"/>
      <c r="Q454" s="138"/>
      <c r="R454" s="137"/>
      <c r="T454" s="182"/>
      <c r="U454" s="182"/>
    </row>
    <row r="455" spans="2:21" ht="9.75" customHeight="1" x14ac:dyDescent="0.4">
      <c r="C455" s="418"/>
      <c r="D455" s="139" t="s">
        <v>308</v>
      </c>
      <c r="E455" s="226"/>
      <c r="F455" s="225"/>
      <c r="G455" s="225"/>
      <c r="H455" s="225"/>
      <c r="I455" s="225"/>
      <c r="J455" s="225"/>
      <c r="K455" s="225"/>
      <c r="L455" s="225"/>
      <c r="M455" s="225"/>
      <c r="N455" s="225"/>
      <c r="O455" s="226"/>
      <c r="P455" s="225"/>
      <c r="Q455" s="225"/>
      <c r="R455" s="421"/>
      <c r="T455" s="182"/>
      <c r="U455" s="182"/>
    </row>
    <row r="456" spans="2:21" ht="9.75" customHeight="1" x14ac:dyDescent="0.4">
      <c r="C456" s="418"/>
      <c r="D456" s="139" t="s">
        <v>517</v>
      </c>
      <c r="E456" s="226"/>
      <c r="F456" s="225"/>
      <c r="G456" s="225"/>
      <c r="H456" s="225"/>
      <c r="I456" s="225"/>
      <c r="J456" s="225"/>
      <c r="K456" s="225"/>
      <c r="L456" s="225"/>
      <c r="M456" s="225"/>
      <c r="N456" s="225"/>
      <c r="O456" s="226"/>
      <c r="P456" s="225"/>
      <c r="Q456" s="225"/>
      <c r="R456" s="421"/>
      <c r="T456" s="182"/>
      <c r="U456" s="182"/>
    </row>
    <row r="457" spans="2:21" ht="9.75" customHeight="1" x14ac:dyDescent="0.4">
      <c r="C457" s="418"/>
      <c r="D457" s="139" t="s">
        <v>518</v>
      </c>
      <c r="E457" s="226"/>
      <c r="F457" s="225"/>
      <c r="G457" s="225"/>
      <c r="H457" s="225"/>
      <c r="I457" s="225"/>
      <c r="J457" s="225"/>
      <c r="K457" s="225"/>
      <c r="L457" s="225"/>
      <c r="M457" s="225"/>
      <c r="N457" s="225"/>
      <c r="O457" s="226"/>
      <c r="P457" s="225"/>
      <c r="Q457" s="225"/>
      <c r="R457" s="421"/>
      <c r="T457" s="182"/>
      <c r="U457" s="182"/>
    </row>
    <row r="458" spans="2:21" ht="9.75" customHeight="1" x14ac:dyDescent="0.4">
      <c r="C458" s="418"/>
      <c r="D458" s="139" t="s">
        <v>374</v>
      </c>
      <c r="E458" s="139"/>
      <c r="F458" s="138"/>
      <c r="G458" s="138"/>
      <c r="H458" s="138"/>
      <c r="I458" s="138"/>
      <c r="J458" s="138"/>
      <c r="K458" s="138"/>
      <c r="L458" s="138"/>
      <c r="M458" s="138"/>
      <c r="N458" s="138"/>
      <c r="O458" s="139"/>
      <c r="P458" s="138"/>
      <c r="Q458" s="138"/>
      <c r="R458" s="137"/>
      <c r="T458" s="182"/>
      <c r="U458" s="182"/>
    </row>
    <row r="459" spans="2:21" ht="9.75" customHeight="1" x14ac:dyDescent="0.4">
      <c r="C459" s="418"/>
      <c r="D459" s="139" t="s">
        <v>374</v>
      </c>
      <c r="E459" s="139"/>
      <c r="F459" s="138"/>
      <c r="G459" s="138"/>
      <c r="H459" s="138"/>
      <c r="I459" s="138"/>
      <c r="J459" s="138"/>
      <c r="K459" s="138"/>
      <c r="L459" s="138"/>
      <c r="M459" s="138"/>
      <c r="N459" s="138"/>
      <c r="O459" s="139"/>
      <c r="P459" s="138"/>
      <c r="Q459" s="138"/>
      <c r="R459" s="137"/>
      <c r="T459" s="182"/>
      <c r="U459" s="182"/>
    </row>
    <row r="460" spans="2:21" ht="9.75" customHeight="1" x14ac:dyDescent="0.4">
      <c r="C460" s="418"/>
      <c r="D460" s="139" t="s">
        <v>374</v>
      </c>
      <c r="E460" s="139"/>
      <c r="F460" s="138"/>
      <c r="G460" s="138"/>
      <c r="H460" s="138"/>
      <c r="I460" s="138"/>
      <c r="J460" s="138"/>
      <c r="K460" s="138"/>
      <c r="L460" s="138"/>
      <c r="M460" s="138"/>
      <c r="N460" s="138"/>
      <c r="O460" s="139"/>
      <c r="P460" s="138"/>
      <c r="Q460" s="138"/>
      <c r="R460" s="137"/>
      <c r="T460" s="182"/>
      <c r="U460" s="182"/>
    </row>
    <row r="461" spans="2:21" ht="9.75" customHeight="1" x14ac:dyDescent="0.4">
      <c r="C461" s="418"/>
      <c r="D461" s="139" t="s">
        <v>374</v>
      </c>
      <c r="E461" s="139"/>
      <c r="F461" s="138"/>
      <c r="G461" s="138"/>
      <c r="H461" s="138"/>
      <c r="I461" s="138"/>
      <c r="J461" s="138"/>
      <c r="K461" s="138"/>
      <c r="L461" s="138"/>
      <c r="M461" s="138"/>
      <c r="N461" s="138"/>
      <c r="O461" s="139"/>
      <c r="P461" s="138"/>
      <c r="Q461" s="138"/>
      <c r="R461" s="137"/>
      <c r="T461" s="182"/>
      <c r="U461" s="182"/>
    </row>
    <row r="462" spans="2:21" ht="9.75" customHeight="1" x14ac:dyDescent="0.4">
      <c r="C462" s="418"/>
      <c r="D462" s="139" t="s">
        <v>310</v>
      </c>
      <c r="E462" s="226"/>
      <c r="F462" s="225"/>
      <c r="G462" s="225"/>
      <c r="H462" s="225"/>
      <c r="I462" s="225"/>
      <c r="J462" s="225"/>
      <c r="K462" s="225"/>
      <c r="L462" s="225"/>
      <c r="M462" s="225"/>
      <c r="N462" s="225"/>
      <c r="O462" s="226"/>
      <c r="P462" s="225"/>
      <c r="Q462" s="225"/>
      <c r="R462" s="421"/>
      <c r="T462" s="182"/>
      <c r="U462" s="182"/>
    </row>
    <row r="463" spans="2:21" ht="9.75" customHeight="1" x14ac:dyDescent="0.4">
      <c r="C463" s="418"/>
      <c r="D463" s="139" t="s">
        <v>311</v>
      </c>
      <c r="E463" s="139"/>
      <c r="F463" s="138"/>
      <c r="G463" s="138"/>
      <c r="H463" s="138"/>
      <c r="I463" s="138"/>
      <c r="J463" s="138"/>
      <c r="K463" s="138"/>
      <c r="L463" s="138"/>
      <c r="M463" s="138"/>
      <c r="N463" s="138"/>
      <c r="O463" s="139"/>
      <c r="P463" s="138"/>
      <c r="Q463" s="138"/>
      <c r="R463" s="137"/>
      <c r="T463" s="182"/>
      <c r="U463" s="182"/>
    </row>
    <row r="464" spans="2:21" ht="9.75" customHeight="1" x14ac:dyDescent="0.4">
      <c r="C464" s="418"/>
      <c r="D464" s="139" t="s">
        <v>312</v>
      </c>
      <c r="E464" s="139"/>
      <c r="F464" s="138"/>
      <c r="G464" s="138"/>
      <c r="H464" s="138"/>
      <c r="I464" s="138"/>
      <c r="J464" s="138"/>
      <c r="K464" s="138"/>
      <c r="L464" s="138"/>
      <c r="M464" s="138"/>
      <c r="N464" s="138"/>
      <c r="O464" s="139"/>
      <c r="P464" s="138"/>
      <c r="Q464" s="138"/>
      <c r="R464" s="137"/>
      <c r="T464" s="182"/>
      <c r="U464" s="182"/>
    </row>
    <row r="465" spans="2:21" ht="9.75" customHeight="1" x14ac:dyDescent="0.4">
      <c r="C465" s="418"/>
      <c r="D465" s="424" t="s">
        <v>313</v>
      </c>
      <c r="E465" s="424"/>
      <c r="F465" s="425"/>
      <c r="G465" s="425"/>
      <c r="H465" s="425"/>
      <c r="I465" s="425"/>
      <c r="J465" s="425"/>
      <c r="K465" s="425"/>
      <c r="L465" s="425"/>
      <c r="M465" s="425"/>
      <c r="N465" s="425"/>
      <c r="O465" s="424"/>
      <c r="P465" s="425"/>
      <c r="Q465" s="425"/>
      <c r="R465" s="426"/>
      <c r="T465" s="182"/>
      <c r="U465" s="182"/>
    </row>
    <row r="466" spans="2:21" ht="9.75" customHeight="1" x14ac:dyDescent="0.4">
      <c r="B466" s="219" t="s">
        <v>395</v>
      </c>
      <c r="C466" s="427"/>
      <c r="D466" s="428" t="s">
        <v>314</v>
      </c>
      <c r="E466" s="429"/>
      <c r="F466" s="430"/>
      <c r="G466" s="430"/>
      <c r="H466" s="430"/>
      <c r="I466" s="430"/>
      <c r="J466" s="430"/>
      <c r="K466" s="430"/>
      <c r="L466" s="430"/>
      <c r="M466" s="430"/>
      <c r="N466" s="430"/>
      <c r="O466" s="429"/>
      <c r="P466" s="430"/>
      <c r="Q466" s="430"/>
      <c r="R466" s="431"/>
      <c r="T466" s="182"/>
      <c r="U466" s="182"/>
    </row>
    <row r="467" spans="2:21" ht="9.75" customHeight="1" x14ac:dyDescent="0.4">
      <c r="C467" s="432" t="s">
        <v>107</v>
      </c>
      <c r="D467" s="60" t="s">
        <v>300</v>
      </c>
      <c r="E467" s="60"/>
      <c r="F467" s="58"/>
      <c r="G467" s="58"/>
      <c r="H467" s="58"/>
      <c r="I467" s="58"/>
      <c r="J467" s="58"/>
      <c r="K467" s="58"/>
      <c r="L467" s="58"/>
      <c r="M467" s="58"/>
      <c r="N467" s="58"/>
      <c r="O467" s="60"/>
      <c r="P467" s="58"/>
      <c r="Q467" s="58"/>
      <c r="R467" s="59"/>
      <c r="T467" s="182"/>
      <c r="U467" s="182"/>
    </row>
    <row r="468" spans="2:21" ht="9.75" customHeight="1" x14ac:dyDescent="0.4">
      <c r="C468" s="26" t="s">
        <v>519</v>
      </c>
      <c r="D468" s="60" t="s">
        <v>301</v>
      </c>
      <c r="E468" s="60"/>
      <c r="F468" s="58"/>
      <c r="G468" s="58"/>
      <c r="H468" s="58"/>
      <c r="I468" s="58"/>
      <c r="J468" s="58"/>
      <c r="K468" s="58"/>
      <c r="L468" s="58"/>
      <c r="M468" s="58"/>
      <c r="N468" s="58"/>
      <c r="O468" s="60"/>
      <c r="P468" s="58"/>
      <c r="Q468" s="58"/>
      <c r="R468" s="59"/>
      <c r="T468" s="182"/>
      <c r="U468" s="182"/>
    </row>
    <row r="469" spans="2:21" ht="9.75" customHeight="1" x14ac:dyDescent="0.4">
      <c r="C469" s="26" t="s">
        <v>332</v>
      </c>
      <c r="D469" s="60" t="s">
        <v>303</v>
      </c>
      <c r="E469" s="60"/>
      <c r="F469" s="58"/>
      <c r="G469" s="58"/>
      <c r="H469" s="58"/>
      <c r="I469" s="58"/>
      <c r="J469" s="58"/>
      <c r="K469" s="58"/>
      <c r="L469" s="58"/>
      <c r="M469" s="58"/>
      <c r="N469" s="58"/>
      <c r="O469" s="60"/>
      <c r="P469" s="58"/>
      <c r="Q469" s="58"/>
      <c r="R469" s="59"/>
      <c r="T469" s="182"/>
      <c r="U469" s="182"/>
    </row>
    <row r="470" spans="2:21" ht="9.75" customHeight="1" x14ac:dyDescent="0.4">
      <c r="C470" s="17"/>
      <c r="D470" s="60" t="s">
        <v>369</v>
      </c>
      <c r="E470" s="60"/>
      <c r="F470" s="58"/>
      <c r="G470" s="58"/>
      <c r="H470" s="58"/>
      <c r="I470" s="58"/>
      <c r="J470" s="58"/>
      <c r="K470" s="58"/>
      <c r="L470" s="58"/>
      <c r="M470" s="58"/>
      <c r="N470" s="58"/>
      <c r="O470" s="60"/>
      <c r="P470" s="58"/>
      <c r="Q470" s="58"/>
      <c r="R470" s="59"/>
      <c r="T470" s="182"/>
      <c r="U470" s="182"/>
    </row>
    <row r="471" spans="2:21" ht="9.75" customHeight="1" x14ac:dyDescent="0.4">
      <c r="C471" s="27"/>
      <c r="D471" s="60" t="s">
        <v>369</v>
      </c>
      <c r="E471" s="60"/>
      <c r="F471" s="58"/>
      <c r="G471" s="58"/>
      <c r="H471" s="58"/>
      <c r="I471" s="58"/>
      <c r="J471" s="58"/>
      <c r="K471" s="58"/>
      <c r="L471" s="58"/>
      <c r="M471" s="58"/>
      <c r="N471" s="58"/>
      <c r="O471" s="60"/>
      <c r="P471" s="58"/>
      <c r="Q471" s="58"/>
      <c r="R471" s="59"/>
      <c r="T471" s="182"/>
      <c r="U471" s="182"/>
    </row>
    <row r="472" spans="2:21" ht="9.75" customHeight="1" x14ac:dyDescent="0.4">
      <c r="C472" s="27"/>
      <c r="D472" s="60" t="s">
        <v>308</v>
      </c>
      <c r="E472" s="433"/>
      <c r="F472" s="58"/>
      <c r="G472" s="58"/>
      <c r="H472" s="58"/>
      <c r="I472" s="58"/>
      <c r="J472" s="58"/>
      <c r="K472" s="58"/>
      <c r="L472" s="58"/>
      <c r="M472" s="58"/>
      <c r="N472" s="58"/>
      <c r="O472" s="60"/>
      <c r="P472" s="58"/>
      <c r="Q472" s="58"/>
      <c r="R472" s="59"/>
      <c r="T472" s="182"/>
      <c r="U472" s="182"/>
    </row>
    <row r="473" spans="2:21" ht="9.75" customHeight="1" x14ac:dyDescent="0.4">
      <c r="C473" s="27"/>
      <c r="D473" s="60" t="s">
        <v>377</v>
      </c>
      <c r="E473" s="123"/>
      <c r="F473" s="74"/>
      <c r="G473" s="74"/>
      <c r="H473" s="74"/>
      <c r="I473" s="74"/>
      <c r="J473" s="74"/>
      <c r="K473" s="74"/>
      <c r="L473" s="74"/>
      <c r="M473" s="74"/>
      <c r="N473" s="74"/>
      <c r="O473" s="123"/>
      <c r="P473" s="74"/>
      <c r="Q473" s="74"/>
      <c r="R473" s="75"/>
      <c r="T473" s="182"/>
      <c r="U473" s="182"/>
    </row>
    <row r="474" spans="2:21" ht="9.75" customHeight="1" x14ac:dyDescent="0.4">
      <c r="C474" s="27"/>
      <c r="D474" s="60" t="s">
        <v>377</v>
      </c>
      <c r="E474" s="60"/>
      <c r="F474" s="58"/>
      <c r="G474" s="58"/>
      <c r="H474" s="58"/>
      <c r="I474" s="58"/>
      <c r="J474" s="58"/>
      <c r="K474" s="58"/>
      <c r="L474" s="58"/>
      <c r="M474" s="58"/>
      <c r="N474" s="58"/>
      <c r="O474" s="60"/>
      <c r="P474" s="58"/>
      <c r="Q474" s="58"/>
      <c r="R474" s="59"/>
      <c r="T474" s="182"/>
      <c r="U474" s="182"/>
    </row>
    <row r="475" spans="2:21" ht="9.75" customHeight="1" x14ac:dyDescent="0.4">
      <c r="C475" s="27"/>
      <c r="D475" s="60" t="s">
        <v>374</v>
      </c>
      <c r="E475" s="60"/>
      <c r="F475" s="58"/>
      <c r="G475" s="58"/>
      <c r="H475" s="58"/>
      <c r="I475" s="58"/>
      <c r="J475" s="58"/>
      <c r="K475" s="58"/>
      <c r="L475" s="58"/>
      <c r="M475" s="58"/>
      <c r="N475" s="58"/>
      <c r="O475" s="60"/>
      <c r="P475" s="58"/>
      <c r="Q475" s="58"/>
      <c r="R475" s="59"/>
      <c r="T475" s="182"/>
      <c r="U475" s="182"/>
    </row>
    <row r="476" spans="2:21" ht="9.75" customHeight="1" x14ac:dyDescent="0.4">
      <c r="C476" s="27"/>
      <c r="D476" s="60" t="s">
        <v>374</v>
      </c>
      <c r="E476" s="60"/>
      <c r="F476" s="58"/>
      <c r="G476" s="58"/>
      <c r="H476" s="58"/>
      <c r="I476" s="58"/>
      <c r="J476" s="58"/>
      <c r="K476" s="58"/>
      <c r="L476" s="58"/>
      <c r="M476" s="58"/>
      <c r="N476" s="58"/>
      <c r="O476" s="60"/>
      <c r="P476" s="58"/>
      <c r="Q476" s="58"/>
      <c r="R476" s="59"/>
      <c r="T476" s="182"/>
      <c r="U476" s="182"/>
    </row>
    <row r="477" spans="2:21" ht="9.75" customHeight="1" x14ac:dyDescent="0.4">
      <c r="C477" s="27"/>
      <c r="D477" s="60" t="s">
        <v>374</v>
      </c>
      <c r="E477" s="60"/>
      <c r="F477" s="58"/>
      <c r="G477" s="58"/>
      <c r="H477" s="58"/>
      <c r="I477" s="58"/>
      <c r="J477" s="58"/>
      <c r="K477" s="58"/>
      <c r="L477" s="58"/>
      <c r="M477" s="58"/>
      <c r="N477" s="58"/>
      <c r="O477" s="60"/>
      <c r="P477" s="58"/>
      <c r="Q477" s="58"/>
      <c r="R477" s="59"/>
      <c r="T477" s="182"/>
      <c r="U477" s="182"/>
    </row>
    <row r="478" spans="2:21" ht="9.75" customHeight="1" x14ac:dyDescent="0.4">
      <c r="C478" s="27"/>
      <c r="D478" s="60" t="s">
        <v>374</v>
      </c>
      <c r="E478" s="60"/>
      <c r="F478" s="58"/>
      <c r="G478" s="58"/>
      <c r="H478" s="58"/>
      <c r="I478" s="58"/>
      <c r="J478" s="58"/>
      <c r="K478" s="58"/>
      <c r="L478" s="58"/>
      <c r="M478" s="58"/>
      <c r="N478" s="58"/>
      <c r="O478" s="60"/>
      <c r="P478" s="58"/>
      <c r="Q478" s="58"/>
      <c r="R478" s="59"/>
      <c r="T478" s="182"/>
      <c r="U478" s="182"/>
    </row>
    <row r="479" spans="2:21" ht="9.75" customHeight="1" x14ac:dyDescent="0.4">
      <c r="C479" s="27"/>
      <c r="D479" s="60" t="s">
        <v>310</v>
      </c>
      <c r="E479" s="60"/>
      <c r="F479" s="58"/>
      <c r="G479" s="58"/>
      <c r="H479" s="58"/>
      <c r="I479" s="58"/>
      <c r="J479" s="58"/>
      <c r="K479" s="58"/>
      <c r="L479" s="58"/>
      <c r="M479" s="58"/>
      <c r="N479" s="58"/>
      <c r="O479" s="60"/>
      <c r="P479" s="58"/>
      <c r="Q479" s="58"/>
      <c r="R479" s="59"/>
      <c r="T479" s="182"/>
      <c r="U479" s="182"/>
    </row>
    <row r="480" spans="2:21" ht="9.75" customHeight="1" x14ac:dyDescent="0.4">
      <c r="C480" s="27"/>
      <c r="D480" s="60" t="s">
        <v>311</v>
      </c>
      <c r="E480" s="123">
        <v>2</v>
      </c>
      <c r="F480" s="74">
        <v>0</v>
      </c>
      <c r="G480" s="74">
        <v>0</v>
      </c>
      <c r="H480" s="74">
        <v>0</v>
      </c>
      <c r="I480" s="74">
        <v>0</v>
      </c>
      <c r="J480" s="74">
        <v>0</v>
      </c>
      <c r="K480" s="74">
        <v>0</v>
      </c>
      <c r="L480" s="74">
        <v>0</v>
      </c>
      <c r="M480" s="74">
        <v>0</v>
      </c>
      <c r="N480" s="74">
        <v>0</v>
      </c>
      <c r="O480" s="123">
        <v>0</v>
      </c>
      <c r="P480" s="74">
        <f t="shared" ref="P480:P483" si="50">MIN(F480:O480)</f>
        <v>0</v>
      </c>
      <c r="Q480" s="74">
        <f t="shared" ref="Q480:Q483" si="51">E480-P480</f>
        <v>2</v>
      </c>
      <c r="R480" s="75">
        <f t="shared" ref="R480:R483" si="52">Q480/E480</f>
        <v>1</v>
      </c>
      <c r="T480" s="182"/>
      <c r="U480" s="182"/>
    </row>
    <row r="481" spans="2:21" ht="9.75" customHeight="1" x14ac:dyDescent="0.4">
      <c r="C481" s="27"/>
      <c r="D481" s="60" t="s">
        <v>312</v>
      </c>
      <c r="E481" s="123">
        <v>2</v>
      </c>
      <c r="F481" s="74">
        <v>0</v>
      </c>
      <c r="G481" s="74">
        <v>1</v>
      </c>
      <c r="H481" s="74">
        <v>0</v>
      </c>
      <c r="I481" s="74">
        <v>0</v>
      </c>
      <c r="J481" s="74">
        <v>0</v>
      </c>
      <c r="K481" s="74">
        <v>0</v>
      </c>
      <c r="L481" s="74">
        <v>0</v>
      </c>
      <c r="M481" s="74">
        <v>0</v>
      </c>
      <c r="N481" s="74">
        <v>0</v>
      </c>
      <c r="O481" s="123">
        <v>0</v>
      </c>
      <c r="P481" s="74">
        <f t="shared" si="50"/>
        <v>0</v>
      </c>
      <c r="Q481" s="74">
        <f t="shared" si="51"/>
        <v>2</v>
      </c>
      <c r="R481" s="75">
        <f t="shared" si="52"/>
        <v>1</v>
      </c>
      <c r="T481" s="182"/>
      <c r="U481" s="182"/>
    </row>
    <row r="482" spans="2:21" ht="9.75" customHeight="1" x14ac:dyDescent="0.4">
      <c r="C482" s="27"/>
      <c r="D482" s="64" t="s">
        <v>313</v>
      </c>
      <c r="E482" s="195">
        <v>2</v>
      </c>
      <c r="F482" s="194">
        <v>1</v>
      </c>
      <c r="G482" s="194">
        <v>1</v>
      </c>
      <c r="H482" s="194">
        <v>1</v>
      </c>
      <c r="I482" s="194">
        <v>0</v>
      </c>
      <c r="J482" s="194">
        <v>0</v>
      </c>
      <c r="K482" s="194">
        <v>0</v>
      </c>
      <c r="L482" s="194">
        <v>0</v>
      </c>
      <c r="M482" s="194">
        <v>0</v>
      </c>
      <c r="N482" s="194">
        <v>0</v>
      </c>
      <c r="O482" s="195">
        <v>0</v>
      </c>
      <c r="P482" s="74">
        <f t="shared" si="50"/>
        <v>0</v>
      </c>
      <c r="Q482" s="74">
        <f t="shared" si="51"/>
        <v>2</v>
      </c>
      <c r="R482" s="75">
        <f t="shared" si="52"/>
        <v>1</v>
      </c>
      <c r="T482" s="182"/>
      <c r="U482" s="182"/>
    </row>
    <row r="483" spans="2:21" ht="9.75" customHeight="1" x14ac:dyDescent="0.4">
      <c r="B483" s="219" t="s">
        <v>395</v>
      </c>
      <c r="C483" s="125"/>
      <c r="D483" s="69" t="s">
        <v>314</v>
      </c>
      <c r="E483" s="408">
        <f t="shared" ref="E483:O483" si="53">SUM(E467:E482)</f>
        <v>6</v>
      </c>
      <c r="F483" s="409">
        <f t="shared" si="53"/>
        <v>1</v>
      </c>
      <c r="G483" s="409">
        <f t="shared" si="53"/>
        <v>2</v>
      </c>
      <c r="H483" s="409">
        <f t="shared" si="53"/>
        <v>1</v>
      </c>
      <c r="I483" s="409">
        <f t="shared" si="53"/>
        <v>0</v>
      </c>
      <c r="J483" s="409">
        <f t="shared" si="53"/>
        <v>0</v>
      </c>
      <c r="K483" s="409">
        <f t="shared" si="53"/>
        <v>0</v>
      </c>
      <c r="L483" s="409">
        <f t="shared" si="53"/>
        <v>0</v>
      </c>
      <c r="M483" s="409">
        <f t="shared" si="53"/>
        <v>0</v>
      </c>
      <c r="N483" s="409">
        <f t="shared" si="53"/>
        <v>0</v>
      </c>
      <c r="O483" s="408">
        <f t="shared" si="53"/>
        <v>0</v>
      </c>
      <c r="P483" s="89">
        <f t="shared" si="50"/>
        <v>0</v>
      </c>
      <c r="Q483" s="89">
        <f t="shared" si="51"/>
        <v>6</v>
      </c>
      <c r="R483" s="91">
        <f t="shared" si="52"/>
        <v>1</v>
      </c>
      <c r="T483" s="182"/>
      <c r="U483" s="182"/>
    </row>
    <row r="484" spans="2:21" ht="9.75" customHeight="1" x14ac:dyDescent="0.4">
      <c r="C484" s="27" t="s">
        <v>124</v>
      </c>
      <c r="D484" s="60" t="s">
        <v>300</v>
      </c>
      <c r="E484" s="60"/>
      <c r="F484" s="58"/>
      <c r="G484" s="58"/>
      <c r="H484" s="58"/>
      <c r="I484" s="58"/>
      <c r="J484" s="58"/>
      <c r="K484" s="58"/>
      <c r="L484" s="58"/>
      <c r="M484" s="58"/>
      <c r="N484" s="58"/>
      <c r="O484" s="60"/>
      <c r="P484" s="58"/>
      <c r="Q484" s="58"/>
      <c r="R484" s="59"/>
      <c r="T484" s="182"/>
      <c r="U484" s="182"/>
    </row>
    <row r="485" spans="2:21" ht="9.75" customHeight="1" x14ac:dyDescent="0.4">
      <c r="C485" s="17"/>
      <c r="D485" s="60" t="s">
        <v>301</v>
      </c>
      <c r="E485" s="123">
        <v>7</v>
      </c>
      <c r="F485" s="74">
        <v>0</v>
      </c>
      <c r="G485" s="74">
        <v>0</v>
      </c>
      <c r="H485" s="74">
        <v>0</v>
      </c>
      <c r="I485" s="74">
        <v>1</v>
      </c>
      <c r="J485" s="74">
        <v>0</v>
      </c>
      <c r="K485" s="74">
        <v>0</v>
      </c>
      <c r="L485" s="74">
        <v>0</v>
      </c>
      <c r="M485" s="74">
        <v>1</v>
      </c>
      <c r="N485" s="74">
        <v>2</v>
      </c>
      <c r="O485" s="123">
        <v>0</v>
      </c>
      <c r="P485" s="74">
        <f>MIN(F485:O485)</f>
        <v>0</v>
      </c>
      <c r="Q485" s="74">
        <f>E485-P485</f>
        <v>7</v>
      </c>
      <c r="R485" s="75">
        <f>Q485/E485</f>
        <v>1</v>
      </c>
      <c r="T485" s="182"/>
      <c r="U485" s="182"/>
    </row>
    <row r="486" spans="2:21" ht="9.75" customHeight="1" x14ac:dyDescent="0.4">
      <c r="C486" s="17"/>
      <c r="D486" s="60" t="s">
        <v>303</v>
      </c>
      <c r="E486" s="60"/>
      <c r="F486" s="58"/>
      <c r="G486" s="58"/>
      <c r="H486" s="58"/>
      <c r="I486" s="58"/>
      <c r="J486" s="58"/>
      <c r="K486" s="58"/>
      <c r="L486" s="58"/>
      <c r="M486" s="58"/>
      <c r="N486" s="58"/>
      <c r="O486" s="60"/>
      <c r="P486" s="58"/>
      <c r="Q486" s="58"/>
      <c r="R486" s="59"/>
      <c r="T486" s="182"/>
      <c r="U486" s="182"/>
    </row>
    <row r="487" spans="2:21" ht="9.75" customHeight="1" x14ac:dyDescent="0.4">
      <c r="C487" s="17"/>
      <c r="D487" s="60" t="s">
        <v>369</v>
      </c>
      <c r="E487" s="60"/>
      <c r="F487" s="58"/>
      <c r="G487" s="58"/>
      <c r="H487" s="58"/>
      <c r="I487" s="58"/>
      <c r="J487" s="58"/>
      <c r="K487" s="58"/>
      <c r="L487" s="58"/>
      <c r="M487" s="58"/>
      <c r="N487" s="58"/>
      <c r="O487" s="60"/>
      <c r="P487" s="58"/>
      <c r="Q487" s="58"/>
      <c r="R487" s="59"/>
      <c r="T487" s="182"/>
      <c r="U487" s="182"/>
    </row>
    <row r="488" spans="2:21" ht="9.75" customHeight="1" x14ac:dyDescent="0.4">
      <c r="C488" s="27"/>
      <c r="D488" s="60" t="s">
        <v>369</v>
      </c>
      <c r="E488" s="60"/>
      <c r="F488" s="58"/>
      <c r="G488" s="58"/>
      <c r="H488" s="58"/>
      <c r="I488" s="58"/>
      <c r="J488" s="58"/>
      <c r="K488" s="58"/>
      <c r="L488" s="58"/>
      <c r="M488" s="58"/>
      <c r="N488" s="58"/>
      <c r="O488" s="60"/>
      <c r="P488" s="58"/>
      <c r="Q488" s="58"/>
      <c r="R488" s="59"/>
      <c r="T488" s="182"/>
      <c r="U488" s="182"/>
    </row>
    <row r="489" spans="2:21" ht="9.75" customHeight="1" x14ac:dyDescent="0.4">
      <c r="C489" s="27"/>
      <c r="D489" s="60" t="s">
        <v>308</v>
      </c>
      <c r="E489" s="123">
        <v>7</v>
      </c>
      <c r="F489" s="74">
        <v>6</v>
      </c>
      <c r="G489" s="74">
        <v>3</v>
      </c>
      <c r="H489" s="74">
        <v>5</v>
      </c>
      <c r="I489" s="74">
        <v>6</v>
      </c>
      <c r="J489" s="74">
        <v>4</v>
      </c>
      <c r="K489" s="74">
        <v>4</v>
      </c>
      <c r="L489" s="74">
        <v>4</v>
      </c>
      <c r="M489" s="74">
        <v>5</v>
      </c>
      <c r="N489" s="74">
        <v>4</v>
      </c>
      <c r="O489" s="123">
        <v>5</v>
      </c>
      <c r="P489" s="74">
        <f>MIN(F489:O489)</f>
        <v>3</v>
      </c>
      <c r="Q489" s="74">
        <f>E489-P489</f>
        <v>4</v>
      </c>
      <c r="R489" s="75">
        <f>Q489/E489</f>
        <v>0.5714285714285714</v>
      </c>
      <c r="T489" s="182"/>
      <c r="U489" s="182"/>
    </row>
    <row r="490" spans="2:21" ht="9.75" customHeight="1" x14ac:dyDescent="0.4">
      <c r="C490" s="27"/>
      <c r="D490" s="60" t="s">
        <v>374</v>
      </c>
      <c r="E490" s="60"/>
      <c r="F490" s="58"/>
      <c r="G490" s="58"/>
      <c r="H490" s="58"/>
      <c r="I490" s="58"/>
      <c r="J490" s="58"/>
      <c r="K490" s="58"/>
      <c r="L490" s="58"/>
      <c r="M490" s="58"/>
      <c r="N490" s="58"/>
      <c r="O490" s="60"/>
      <c r="P490" s="58"/>
      <c r="Q490" s="58"/>
      <c r="R490" s="59"/>
      <c r="T490" s="182"/>
      <c r="U490" s="182"/>
    </row>
    <row r="491" spans="2:21" ht="9.75" customHeight="1" x14ac:dyDescent="0.4">
      <c r="C491" s="27"/>
      <c r="D491" s="60" t="s">
        <v>374</v>
      </c>
      <c r="E491" s="60"/>
      <c r="F491" s="58"/>
      <c r="G491" s="58"/>
      <c r="H491" s="58"/>
      <c r="I491" s="58"/>
      <c r="J491" s="58"/>
      <c r="K491" s="58"/>
      <c r="L491" s="58"/>
      <c r="M491" s="58"/>
      <c r="N491" s="58"/>
      <c r="O491" s="60"/>
      <c r="P491" s="58"/>
      <c r="Q491" s="58"/>
      <c r="R491" s="59"/>
      <c r="T491" s="182"/>
      <c r="U491" s="182"/>
    </row>
    <row r="492" spans="2:21" ht="9.75" customHeight="1" x14ac:dyDescent="0.4">
      <c r="C492" s="27"/>
      <c r="D492" s="60" t="s">
        <v>374</v>
      </c>
      <c r="E492" s="60"/>
      <c r="F492" s="58"/>
      <c r="G492" s="58"/>
      <c r="H492" s="58"/>
      <c r="I492" s="58"/>
      <c r="J492" s="58"/>
      <c r="K492" s="58"/>
      <c r="L492" s="58"/>
      <c r="M492" s="58"/>
      <c r="N492" s="58"/>
      <c r="O492" s="60"/>
      <c r="P492" s="58"/>
      <c r="Q492" s="58"/>
      <c r="R492" s="59"/>
      <c r="T492" s="182"/>
      <c r="U492" s="182"/>
    </row>
    <row r="493" spans="2:21" ht="9.75" customHeight="1" x14ac:dyDescent="0.4">
      <c r="C493" s="27"/>
      <c r="D493" s="60" t="s">
        <v>374</v>
      </c>
      <c r="E493" s="60"/>
      <c r="F493" s="58"/>
      <c r="G493" s="58"/>
      <c r="H493" s="58"/>
      <c r="I493" s="58"/>
      <c r="J493" s="58"/>
      <c r="K493" s="58"/>
      <c r="L493" s="58"/>
      <c r="M493" s="58"/>
      <c r="N493" s="58"/>
      <c r="O493" s="60"/>
      <c r="P493" s="58"/>
      <c r="Q493" s="58"/>
      <c r="R493" s="59"/>
      <c r="T493" s="182"/>
      <c r="U493" s="182"/>
    </row>
    <row r="494" spans="2:21" ht="9.75" customHeight="1" x14ac:dyDescent="0.4">
      <c r="C494" s="27"/>
      <c r="D494" s="60" t="s">
        <v>374</v>
      </c>
      <c r="E494" s="60"/>
      <c r="F494" s="58"/>
      <c r="G494" s="58"/>
      <c r="H494" s="58"/>
      <c r="I494" s="58"/>
      <c r="J494" s="58"/>
      <c r="K494" s="58"/>
      <c r="L494" s="58"/>
      <c r="M494" s="58"/>
      <c r="N494" s="58"/>
      <c r="O494" s="60"/>
      <c r="P494" s="58"/>
      <c r="Q494" s="58"/>
      <c r="R494" s="59"/>
      <c r="T494" s="182"/>
      <c r="U494" s="182"/>
    </row>
    <row r="495" spans="2:21" ht="9.75" customHeight="1" x14ac:dyDescent="0.4">
      <c r="C495" s="27"/>
      <c r="D495" s="60" t="s">
        <v>374</v>
      </c>
      <c r="E495" s="60"/>
      <c r="F495" s="58"/>
      <c r="G495" s="58"/>
      <c r="H495" s="58"/>
      <c r="I495" s="58"/>
      <c r="J495" s="58"/>
      <c r="K495" s="58"/>
      <c r="L495" s="58"/>
      <c r="M495" s="58"/>
      <c r="N495" s="58"/>
      <c r="O495" s="60"/>
      <c r="P495" s="58"/>
      <c r="Q495" s="58"/>
      <c r="R495" s="59"/>
      <c r="T495" s="182"/>
      <c r="U495" s="182"/>
    </row>
    <row r="496" spans="2:21" ht="9.75" customHeight="1" x14ac:dyDescent="0.4">
      <c r="C496" s="27"/>
      <c r="D496" s="60" t="s">
        <v>310</v>
      </c>
      <c r="E496" s="123">
        <v>3</v>
      </c>
      <c r="F496" s="74">
        <v>1</v>
      </c>
      <c r="G496" s="74">
        <v>0</v>
      </c>
      <c r="H496" s="74">
        <v>0</v>
      </c>
      <c r="I496" s="74">
        <v>0</v>
      </c>
      <c r="J496" s="74">
        <v>0</v>
      </c>
      <c r="K496" s="74">
        <v>0</v>
      </c>
      <c r="L496" s="74">
        <v>1</v>
      </c>
      <c r="M496" s="74">
        <v>0</v>
      </c>
      <c r="N496" s="74">
        <v>1</v>
      </c>
      <c r="O496" s="123">
        <v>3</v>
      </c>
      <c r="P496" s="74">
        <f>MIN(F496:O496)</f>
        <v>0</v>
      </c>
      <c r="Q496" s="74">
        <f>E496-P496</f>
        <v>3</v>
      </c>
      <c r="R496" s="75">
        <f>Q496/E496</f>
        <v>1</v>
      </c>
      <c r="T496" s="182"/>
      <c r="U496" s="182"/>
    </row>
    <row r="497" spans="2:21" ht="9.75" customHeight="1" x14ac:dyDescent="0.4">
      <c r="C497" s="27"/>
      <c r="D497" s="60" t="s">
        <v>311</v>
      </c>
      <c r="E497" s="123"/>
      <c r="F497" s="74"/>
      <c r="G497" s="74"/>
      <c r="H497" s="74"/>
      <c r="I497" s="74"/>
      <c r="J497" s="74"/>
      <c r="K497" s="74"/>
      <c r="L497" s="74"/>
      <c r="M497" s="74"/>
      <c r="N497" s="74"/>
      <c r="O497" s="123"/>
      <c r="P497" s="74"/>
      <c r="Q497" s="74"/>
      <c r="R497" s="75"/>
      <c r="T497" s="182"/>
      <c r="U497" s="182"/>
    </row>
    <row r="498" spans="2:21" ht="9.75" customHeight="1" x14ac:dyDescent="0.4">
      <c r="C498" s="27"/>
      <c r="D498" s="60" t="s">
        <v>312</v>
      </c>
      <c r="E498" s="60"/>
      <c r="F498" s="58"/>
      <c r="G498" s="58"/>
      <c r="H498" s="58"/>
      <c r="I498" s="58"/>
      <c r="J498" s="58"/>
      <c r="K498" s="58"/>
      <c r="L498" s="58"/>
      <c r="M498" s="58"/>
      <c r="N498" s="58"/>
      <c r="O498" s="60"/>
      <c r="P498" s="58"/>
      <c r="Q498" s="58"/>
      <c r="R498" s="59"/>
      <c r="T498" s="182"/>
      <c r="U498" s="182"/>
    </row>
    <row r="499" spans="2:21" ht="9.75" customHeight="1" x14ac:dyDescent="0.4">
      <c r="C499" s="27"/>
      <c r="D499" s="64" t="s">
        <v>313</v>
      </c>
      <c r="E499" s="64"/>
      <c r="F499" s="63"/>
      <c r="G499" s="63"/>
      <c r="H499" s="63"/>
      <c r="I499" s="63"/>
      <c r="J499" s="63"/>
      <c r="K499" s="63"/>
      <c r="L499" s="63"/>
      <c r="M499" s="63"/>
      <c r="N499" s="63"/>
      <c r="O499" s="64"/>
      <c r="P499" s="63"/>
      <c r="Q499" s="63"/>
      <c r="R499" s="407"/>
      <c r="T499" s="182"/>
      <c r="U499" s="182"/>
    </row>
    <row r="500" spans="2:21" ht="9.75" customHeight="1" x14ac:dyDescent="0.4">
      <c r="B500" s="219" t="s">
        <v>395</v>
      </c>
      <c r="C500" s="125"/>
      <c r="D500" s="69" t="s">
        <v>314</v>
      </c>
      <c r="E500" s="408">
        <f t="shared" ref="E500:O500" si="54">SUM(E484:E499)</f>
        <v>17</v>
      </c>
      <c r="F500" s="409">
        <f t="shared" si="54"/>
        <v>7</v>
      </c>
      <c r="G500" s="409">
        <f t="shared" si="54"/>
        <v>3</v>
      </c>
      <c r="H500" s="409">
        <f t="shared" si="54"/>
        <v>5</v>
      </c>
      <c r="I500" s="409">
        <f t="shared" si="54"/>
        <v>7</v>
      </c>
      <c r="J500" s="409">
        <f t="shared" si="54"/>
        <v>4</v>
      </c>
      <c r="K500" s="409">
        <f t="shared" si="54"/>
        <v>4</v>
      </c>
      <c r="L500" s="409">
        <f t="shared" si="54"/>
        <v>5</v>
      </c>
      <c r="M500" s="409">
        <f t="shared" si="54"/>
        <v>6</v>
      </c>
      <c r="N500" s="409">
        <f t="shared" si="54"/>
        <v>7</v>
      </c>
      <c r="O500" s="408">
        <f t="shared" si="54"/>
        <v>8</v>
      </c>
      <c r="P500" s="409">
        <f>MIN(F500:O500)</f>
        <v>3</v>
      </c>
      <c r="Q500" s="409">
        <f>E500-P500</f>
        <v>14</v>
      </c>
      <c r="R500" s="410">
        <f>Q500/E500</f>
        <v>0.82352941176470584</v>
      </c>
      <c r="T500" s="182"/>
      <c r="U500" s="182"/>
    </row>
    <row r="501" spans="2:21" ht="9.75" customHeight="1" x14ac:dyDescent="0.4">
      <c r="C501" s="27" t="s">
        <v>142</v>
      </c>
      <c r="D501" s="60" t="s">
        <v>300</v>
      </c>
      <c r="E501" s="60"/>
      <c r="F501" s="58"/>
      <c r="G501" s="58"/>
      <c r="H501" s="58"/>
      <c r="I501" s="58"/>
      <c r="J501" s="58"/>
      <c r="K501" s="58"/>
      <c r="L501" s="58"/>
      <c r="M501" s="58"/>
      <c r="N501" s="58"/>
      <c r="O501" s="60"/>
      <c r="P501" s="58"/>
      <c r="Q501" s="58"/>
      <c r="R501" s="59"/>
      <c r="T501" s="182"/>
      <c r="U501" s="182"/>
    </row>
    <row r="502" spans="2:21" ht="9.75" customHeight="1" x14ac:dyDescent="0.4">
      <c r="C502" s="17"/>
      <c r="D502" s="60" t="s">
        <v>301</v>
      </c>
      <c r="E502" s="60"/>
      <c r="F502" s="58"/>
      <c r="G502" s="58"/>
      <c r="H502" s="58"/>
      <c r="I502" s="58"/>
      <c r="J502" s="58"/>
      <c r="K502" s="58"/>
      <c r="L502" s="58"/>
      <c r="M502" s="58"/>
      <c r="N502" s="58"/>
      <c r="O502" s="60"/>
      <c r="P502" s="58"/>
      <c r="Q502" s="58"/>
      <c r="R502" s="59"/>
      <c r="T502" s="182"/>
      <c r="U502" s="182"/>
    </row>
    <row r="503" spans="2:21" ht="9.75" customHeight="1" x14ac:dyDescent="0.4">
      <c r="C503" s="17"/>
      <c r="D503" s="60" t="s">
        <v>303</v>
      </c>
      <c r="E503" s="60"/>
      <c r="F503" s="58"/>
      <c r="G503" s="58"/>
      <c r="H503" s="58"/>
      <c r="I503" s="58"/>
      <c r="J503" s="58"/>
      <c r="K503" s="58"/>
      <c r="L503" s="58"/>
      <c r="M503" s="58"/>
      <c r="N503" s="58"/>
      <c r="O503" s="60"/>
      <c r="P503" s="58"/>
      <c r="Q503" s="58"/>
      <c r="R503" s="59"/>
      <c r="T503" s="182"/>
      <c r="U503" s="182"/>
    </row>
    <row r="504" spans="2:21" ht="9.75" customHeight="1" x14ac:dyDescent="0.4">
      <c r="C504" s="17"/>
      <c r="D504" s="60" t="s">
        <v>369</v>
      </c>
      <c r="E504" s="60"/>
      <c r="F504" s="58"/>
      <c r="G504" s="58"/>
      <c r="H504" s="58"/>
      <c r="I504" s="58"/>
      <c r="J504" s="58"/>
      <c r="K504" s="58"/>
      <c r="L504" s="58"/>
      <c r="M504" s="58"/>
      <c r="N504" s="58"/>
      <c r="O504" s="60"/>
      <c r="P504" s="58"/>
      <c r="Q504" s="58"/>
      <c r="R504" s="59"/>
      <c r="T504" s="182"/>
      <c r="U504" s="182"/>
    </row>
    <row r="505" spans="2:21" ht="9.75" customHeight="1" x14ac:dyDescent="0.4">
      <c r="C505" s="27"/>
      <c r="D505" s="60" t="s">
        <v>369</v>
      </c>
      <c r="E505" s="60"/>
      <c r="F505" s="58"/>
      <c r="G505" s="58"/>
      <c r="H505" s="58"/>
      <c r="I505" s="58"/>
      <c r="J505" s="58"/>
      <c r="K505" s="58"/>
      <c r="L505" s="58"/>
      <c r="M505" s="58"/>
      <c r="N505" s="58"/>
      <c r="O505" s="60"/>
      <c r="P505" s="58"/>
      <c r="Q505" s="58"/>
      <c r="R505" s="59"/>
      <c r="T505" s="182"/>
      <c r="U505" s="182"/>
    </row>
    <row r="506" spans="2:21" ht="9.75" customHeight="1" x14ac:dyDescent="0.4">
      <c r="C506" s="27"/>
      <c r="D506" s="60" t="s">
        <v>308</v>
      </c>
      <c r="E506" s="123">
        <v>25</v>
      </c>
      <c r="F506" s="74">
        <v>21</v>
      </c>
      <c r="G506" s="74">
        <v>16</v>
      </c>
      <c r="H506" s="74">
        <v>17</v>
      </c>
      <c r="I506" s="74">
        <v>16</v>
      </c>
      <c r="J506" s="74">
        <v>13</v>
      </c>
      <c r="K506" s="74">
        <v>15</v>
      </c>
      <c r="L506" s="74">
        <v>15</v>
      </c>
      <c r="M506" s="74">
        <v>15</v>
      </c>
      <c r="N506" s="74">
        <v>19</v>
      </c>
      <c r="O506" s="123">
        <v>23</v>
      </c>
      <c r="P506" s="74">
        <f>MIN(F506:O506)</f>
        <v>13</v>
      </c>
      <c r="Q506" s="74">
        <f>E506-P506</f>
        <v>12</v>
      </c>
      <c r="R506" s="75">
        <f>Q506/E506</f>
        <v>0.48</v>
      </c>
      <c r="T506" s="182"/>
      <c r="U506" s="182"/>
    </row>
    <row r="507" spans="2:21" ht="9.75" customHeight="1" x14ac:dyDescent="0.4">
      <c r="C507" s="27"/>
      <c r="D507" s="60" t="s">
        <v>374</v>
      </c>
      <c r="E507" s="123"/>
      <c r="F507" s="58"/>
      <c r="G507" s="58"/>
      <c r="H507" s="58"/>
      <c r="I507" s="58"/>
      <c r="J507" s="58"/>
      <c r="K507" s="58"/>
      <c r="L507" s="58"/>
      <c r="M507" s="58"/>
      <c r="N507" s="58"/>
      <c r="O507" s="60"/>
      <c r="P507" s="58"/>
      <c r="Q507" s="58"/>
      <c r="R507" s="59"/>
      <c r="T507" s="182"/>
      <c r="U507" s="182"/>
    </row>
    <row r="508" spans="2:21" ht="9.75" customHeight="1" x14ac:dyDescent="0.4">
      <c r="C508" s="27"/>
      <c r="D508" s="60" t="s">
        <v>520</v>
      </c>
      <c r="E508" s="123">
        <v>12</v>
      </c>
      <c r="F508" s="74">
        <v>4</v>
      </c>
      <c r="G508" s="74">
        <v>1</v>
      </c>
      <c r="H508" s="74">
        <v>0</v>
      </c>
      <c r="I508" s="74">
        <v>4</v>
      </c>
      <c r="J508" s="74">
        <v>4</v>
      </c>
      <c r="K508" s="74">
        <v>3</v>
      </c>
      <c r="L508" s="74">
        <v>6</v>
      </c>
      <c r="M508" s="74">
        <v>3</v>
      </c>
      <c r="N508" s="74">
        <v>3</v>
      </c>
      <c r="O508" s="123">
        <v>5</v>
      </c>
      <c r="P508" s="74">
        <f>MIN(F508:O508)</f>
        <v>0</v>
      </c>
      <c r="Q508" s="74">
        <f>E508-P508</f>
        <v>12</v>
      </c>
      <c r="R508" s="75">
        <f>Q508/E508</f>
        <v>1</v>
      </c>
      <c r="T508" s="182"/>
      <c r="U508" s="182"/>
    </row>
    <row r="509" spans="2:21" ht="9.75" customHeight="1" x14ac:dyDescent="0.4">
      <c r="C509" s="27"/>
      <c r="D509" s="60" t="s">
        <v>374</v>
      </c>
      <c r="E509" s="60"/>
      <c r="F509" s="58"/>
      <c r="G509" s="58"/>
      <c r="H509" s="58"/>
      <c r="I509" s="58"/>
      <c r="J509" s="58"/>
      <c r="K509" s="58"/>
      <c r="L509" s="58"/>
      <c r="M509" s="58"/>
      <c r="N509" s="58"/>
      <c r="O509" s="60"/>
      <c r="P509" s="58"/>
      <c r="Q509" s="58"/>
      <c r="R509" s="59"/>
      <c r="T509" s="182"/>
      <c r="U509" s="182"/>
    </row>
    <row r="510" spans="2:21" ht="9.75" customHeight="1" x14ac:dyDescent="0.4">
      <c r="C510" s="27"/>
      <c r="D510" s="60" t="s">
        <v>374</v>
      </c>
      <c r="E510" s="60"/>
      <c r="F510" s="58"/>
      <c r="G510" s="58"/>
      <c r="H510" s="58"/>
      <c r="I510" s="58"/>
      <c r="J510" s="58"/>
      <c r="K510" s="58"/>
      <c r="L510" s="58"/>
      <c r="M510" s="58"/>
      <c r="N510" s="58"/>
      <c r="O510" s="60"/>
      <c r="P510" s="58"/>
      <c r="Q510" s="58"/>
      <c r="R510" s="59"/>
      <c r="T510" s="182"/>
      <c r="U510" s="182"/>
    </row>
    <row r="511" spans="2:21" ht="9.75" customHeight="1" x14ac:dyDescent="0.4">
      <c r="C511" s="27"/>
      <c r="D511" s="60" t="s">
        <v>374</v>
      </c>
      <c r="E511" s="60"/>
      <c r="F511" s="58"/>
      <c r="G511" s="58"/>
      <c r="H511" s="58"/>
      <c r="I511" s="58"/>
      <c r="J511" s="58"/>
      <c r="K511" s="58"/>
      <c r="L511" s="58"/>
      <c r="M511" s="58"/>
      <c r="N511" s="58"/>
      <c r="O511" s="60"/>
      <c r="P511" s="58"/>
      <c r="Q511" s="58"/>
      <c r="R511" s="59"/>
      <c r="T511" s="182"/>
      <c r="U511" s="182"/>
    </row>
    <row r="512" spans="2:21" ht="9.75" customHeight="1" x14ac:dyDescent="0.4">
      <c r="C512" s="27"/>
      <c r="D512" s="60" t="s">
        <v>374</v>
      </c>
      <c r="E512" s="60"/>
      <c r="F512" s="58"/>
      <c r="G512" s="58"/>
      <c r="H512" s="58"/>
      <c r="I512" s="58"/>
      <c r="J512" s="58"/>
      <c r="K512" s="58"/>
      <c r="L512" s="58"/>
      <c r="M512" s="58"/>
      <c r="N512" s="58"/>
      <c r="O512" s="60"/>
      <c r="P512" s="58"/>
      <c r="Q512" s="58"/>
      <c r="R512" s="59"/>
      <c r="T512" s="182"/>
      <c r="U512" s="182"/>
    </row>
    <row r="513" spans="2:21" ht="9.75" customHeight="1" x14ac:dyDescent="0.4">
      <c r="C513" s="27"/>
      <c r="D513" s="60" t="s">
        <v>310</v>
      </c>
      <c r="E513" s="123">
        <v>3</v>
      </c>
      <c r="F513" s="74">
        <v>3</v>
      </c>
      <c r="G513" s="74">
        <v>2</v>
      </c>
      <c r="H513" s="74">
        <v>1</v>
      </c>
      <c r="I513" s="74">
        <v>1</v>
      </c>
      <c r="J513" s="74">
        <v>0</v>
      </c>
      <c r="K513" s="74">
        <v>1</v>
      </c>
      <c r="L513" s="74">
        <v>0</v>
      </c>
      <c r="M513" s="74">
        <v>0</v>
      </c>
      <c r="N513" s="74">
        <v>0</v>
      </c>
      <c r="O513" s="123">
        <v>1</v>
      </c>
      <c r="P513" s="74">
        <f>MIN(F513:O513)</f>
        <v>0</v>
      </c>
      <c r="Q513" s="74">
        <f>E513-P513</f>
        <v>3</v>
      </c>
      <c r="R513" s="75">
        <f>Q513/E513</f>
        <v>1</v>
      </c>
      <c r="T513" s="182"/>
      <c r="U513" s="182"/>
    </row>
    <row r="514" spans="2:21" ht="9.75" customHeight="1" x14ac:dyDescent="0.4">
      <c r="C514" s="27"/>
      <c r="D514" s="60" t="s">
        <v>311</v>
      </c>
      <c r="E514" s="60"/>
      <c r="F514" s="58"/>
      <c r="G514" s="58"/>
      <c r="H514" s="58"/>
      <c r="I514" s="58"/>
      <c r="J514" s="58"/>
      <c r="K514" s="58"/>
      <c r="L514" s="58"/>
      <c r="M514" s="58"/>
      <c r="N514" s="58"/>
      <c r="O514" s="60"/>
      <c r="P514" s="58"/>
      <c r="Q514" s="58"/>
      <c r="R514" s="59"/>
      <c r="T514" s="182"/>
      <c r="U514" s="182"/>
    </row>
    <row r="515" spans="2:21" ht="9.75" customHeight="1" x14ac:dyDescent="0.4">
      <c r="C515" s="27"/>
      <c r="D515" s="60" t="s">
        <v>312</v>
      </c>
      <c r="E515" s="60"/>
      <c r="F515" s="58"/>
      <c r="G515" s="58"/>
      <c r="H515" s="58"/>
      <c r="I515" s="58"/>
      <c r="J515" s="58"/>
      <c r="K515" s="58"/>
      <c r="L515" s="58"/>
      <c r="M515" s="58"/>
      <c r="N515" s="58"/>
      <c r="O515" s="60"/>
      <c r="P515" s="58"/>
      <c r="Q515" s="58"/>
      <c r="R515" s="59"/>
      <c r="T515" s="182"/>
      <c r="U515" s="182"/>
    </row>
    <row r="516" spans="2:21" ht="9.75" customHeight="1" x14ac:dyDescent="0.4">
      <c r="C516" s="27"/>
      <c r="D516" s="64" t="s">
        <v>313</v>
      </c>
      <c r="E516" s="64"/>
      <c r="F516" s="63"/>
      <c r="G516" s="63"/>
      <c r="H516" s="63"/>
      <c r="I516" s="63"/>
      <c r="J516" s="63"/>
      <c r="K516" s="63"/>
      <c r="L516" s="63"/>
      <c r="M516" s="63"/>
      <c r="N516" s="63"/>
      <c r="O516" s="64"/>
      <c r="P516" s="63"/>
      <c r="Q516" s="63"/>
      <c r="R516" s="407"/>
      <c r="T516" s="182"/>
      <c r="U516" s="182"/>
    </row>
    <row r="517" spans="2:21" ht="9.75" customHeight="1" x14ac:dyDescent="0.4">
      <c r="B517" s="219" t="s">
        <v>395</v>
      </c>
      <c r="C517" s="125"/>
      <c r="D517" s="69" t="s">
        <v>314</v>
      </c>
      <c r="E517" s="408">
        <f t="shared" ref="E517:O517" si="55">SUM(E501:E516)</f>
        <v>40</v>
      </c>
      <c r="F517" s="409">
        <f t="shared" si="55"/>
        <v>28</v>
      </c>
      <c r="G517" s="409">
        <f t="shared" si="55"/>
        <v>19</v>
      </c>
      <c r="H517" s="409">
        <f t="shared" si="55"/>
        <v>18</v>
      </c>
      <c r="I517" s="409">
        <f t="shared" si="55"/>
        <v>21</v>
      </c>
      <c r="J517" s="409">
        <f t="shared" si="55"/>
        <v>17</v>
      </c>
      <c r="K517" s="409">
        <f t="shared" si="55"/>
        <v>19</v>
      </c>
      <c r="L517" s="409">
        <f t="shared" si="55"/>
        <v>21</v>
      </c>
      <c r="M517" s="409">
        <f t="shared" si="55"/>
        <v>18</v>
      </c>
      <c r="N517" s="409">
        <f t="shared" si="55"/>
        <v>22</v>
      </c>
      <c r="O517" s="408">
        <f t="shared" si="55"/>
        <v>29</v>
      </c>
      <c r="P517" s="409">
        <f t="shared" ref="P517:P518" si="56">MIN(F517:O517)</f>
        <v>17</v>
      </c>
      <c r="Q517" s="409">
        <f t="shared" ref="Q517:Q518" si="57">E517-P517</f>
        <v>23</v>
      </c>
      <c r="R517" s="410">
        <f t="shared" ref="R517:R518" si="58">Q517/E517</f>
        <v>0.57499999999999996</v>
      </c>
      <c r="T517" s="182"/>
      <c r="U517" s="182"/>
    </row>
    <row r="518" spans="2:21" ht="9.75" customHeight="1" x14ac:dyDescent="0.4">
      <c r="C518" s="27" t="s">
        <v>157</v>
      </c>
      <c r="D518" s="60" t="s">
        <v>300</v>
      </c>
      <c r="E518" s="123">
        <f>5+2+5</f>
        <v>12</v>
      </c>
      <c r="F518" s="74">
        <v>0</v>
      </c>
      <c r="G518" s="74">
        <v>0</v>
      </c>
      <c r="H518" s="74">
        <v>1</v>
      </c>
      <c r="I518" s="74">
        <v>0</v>
      </c>
      <c r="J518" s="74">
        <v>2</v>
      </c>
      <c r="K518" s="74">
        <v>1</v>
      </c>
      <c r="L518" s="74">
        <v>1</v>
      </c>
      <c r="M518" s="74">
        <v>1</v>
      </c>
      <c r="N518" s="74">
        <v>1</v>
      </c>
      <c r="O518" s="123">
        <v>3</v>
      </c>
      <c r="P518" s="74">
        <f t="shared" si="56"/>
        <v>0</v>
      </c>
      <c r="Q518" s="74">
        <f t="shared" si="57"/>
        <v>12</v>
      </c>
      <c r="R518" s="75">
        <f t="shared" si="58"/>
        <v>1</v>
      </c>
      <c r="T518" s="182"/>
      <c r="U518" s="182"/>
    </row>
    <row r="519" spans="2:21" ht="9.75" customHeight="1" x14ac:dyDescent="0.4">
      <c r="C519" s="17"/>
      <c r="D519" s="60" t="s">
        <v>301</v>
      </c>
      <c r="E519" s="60"/>
      <c r="F519" s="58"/>
      <c r="G519" s="58"/>
      <c r="H519" s="58"/>
      <c r="I519" s="58"/>
      <c r="J519" s="58"/>
      <c r="K519" s="58"/>
      <c r="L519" s="58"/>
      <c r="M519" s="58"/>
      <c r="N519" s="58"/>
      <c r="O519" s="60"/>
      <c r="P519" s="58"/>
      <c r="Q519" s="58"/>
      <c r="R519" s="59"/>
      <c r="T519" s="182"/>
      <c r="U519" s="182"/>
    </row>
    <row r="520" spans="2:21" ht="9.75" customHeight="1" x14ac:dyDescent="0.4">
      <c r="C520" s="17"/>
      <c r="D520" s="60" t="s">
        <v>303</v>
      </c>
      <c r="E520" s="60"/>
      <c r="F520" s="58"/>
      <c r="G520" s="58"/>
      <c r="H520" s="58"/>
      <c r="I520" s="58"/>
      <c r="J520" s="58"/>
      <c r="K520" s="58"/>
      <c r="L520" s="58"/>
      <c r="M520" s="58"/>
      <c r="N520" s="58"/>
      <c r="O520" s="60"/>
      <c r="P520" s="58"/>
      <c r="Q520" s="58"/>
      <c r="R520" s="59"/>
      <c r="T520" s="182"/>
      <c r="U520" s="182"/>
    </row>
    <row r="521" spans="2:21" ht="9.75" customHeight="1" x14ac:dyDescent="0.4">
      <c r="C521" s="17"/>
      <c r="D521" s="60" t="s">
        <v>369</v>
      </c>
      <c r="E521" s="60"/>
      <c r="F521" s="58"/>
      <c r="G521" s="58"/>
      <c r="H521" s="58"/>
      <c r="I521" s="58"/>
      <c r="J521" s="58"/>
      <c r="K521" s="58"/>
      <c r="L521" s="58"/>
      <c r="M521" s="58"/>
      <c r="N521" s="58"/>
      <c r="O521" s="60"/>
      <c r="P521" s="58"/>
      <c r="Q521" s="58"/>
      <c r="R521" s="59"/>
      <c r="T521" s="182"/>
      <c r="U521" s="182"/>
    </row>
    <row r="522" spans="2:21" ht="9.75" customHeight="1" x14ac:dyDescent="0.4">
      <c r="C522" s="27"/>
      <c r="D522" s="60" t="s">
        <v>369</v>
      </c>
      <c r="E522" s="60"/>
      <c r="F522" s="58"/>
      <c r="G522" s="58"/>
      <c r="H522" s="58"/>
      <c r="I522" s="58"/>
      <c r="J522" s="58"/>
      <c r="K522" s="58"/>
      <c r="L522" s="58"/>
      <c r="M522" s="58"/>
      <c r="N522" s="58"/>
      <c r="O522" s="60"/>
      <c r="P522" s="58"/>
      <c r="Q522" s="58"/>
      <c r="R522" s="59"/>
      <c r="T522" s="182"/>
      <c r="U522" s="182"/>
    </row>
    <row r="523" spans="2:21" ht="9.75" customHeight="1" x14ac:dyDescent="0.4">
      <c r="C523" s="27"/>
      <c r="D523" s="60" t="s">
        <v>308</v>
      </c>
      <c r="E523" s="123">
        <v>20</v>
      </c>
      <c r="F523" s="74">
        <v>10</v>
      </c>
      <c r="G523" s="74">
        <v>11</v>
      </c>
      <c r="H523" s="74">
        <v>9</v>
      </c>
      <c r="I523" s="74">
        <v>12</v>
      </c>
      <c r="J523" s="74">
        <v>12</v>
      </c>
      <c r="K523" s="74">
        <v>13</v>
      </c>
      <c r="L523" s="74">
        <v>12</v>
      </c>
      <c r="M523" s="74">
        <v>12</v>
      </c>
      <c r="N523" s="74">
        <v>14</v>
      </c>
      <c r="O523" s="123">
        <v>14</v>
      </c>
      <c r="P523" s="74">
        <f t="shared" ref="P523:P524" si="59">MIN(F523:O523)</f>
        <v>9</v>
      </c>
      <c r="Q523" s="74">
        <f t="shared" ref="Q523:Q524" si="60">E523-P523</f>
        <v>11</v>
      </c>
      <c r="R523" s="75">
        <f t="shared" ref="R523:R524" si="61">Q523/E523</f>
        <v>0.55000000000000004</v>
      </c>
      <c r="T523" s="182"/>
      <c r="U523" s="182"/>
    </row>
    <row r="524" spans="2:21" ht="9.75" customHeight="1" x14ac:dyDescent="0.4">
      <c r="C524" s="27"/>
      <c r="D524" s="60" t="s">
        <v>521</v>
      </c>
      <c r="E524" s="123">
        <v>1</v>
      </c>
      <c r="F524" s="74">
        <v>0</v>
      </c>
      <c r="G524" s="74">
        <v>0</v>
      </c>
      <c r="H524" s="74">
        <v>0</v>
      </c>
      <c r="I524" s="74">
        <v>0</v>
      </c>
      <c r="J524" s="74">
        <v>0</v>
      </c>
      <c r="K524" s="74">
        <v>0</v>
      </c>
      <c r="L524" s="74">
        <v>0</v>
      </c>
      <c r="M524" s="74">
        <v>0</v>
      </c>
      <c r="N524" s="74">
        <v>0</v>
      </c>
      <c r="O524" s="123">
        <v>0</v>
      </c>
      <c r="P524" s="74">
        <f t="shared" si="59"/>
        <v>0</v>
      </c>
      <c r="Q524" s="74">
        <f t="shared" si="60"/>
        <v>1</v>
      </c>
      <c r="R524" s="75">
        <f t="shared" si="61"/>
        <v>1</v>
      </c>
      <c r="T524" s="182"/>
      <c r="U524" s="182"/>
    </row>
    <row r="525" spans="2:21" ht="9.75" customHeight="1" x14ac:dyDescent="0.4">
      <c r="C525" s="27"/>
      <c r="D525" s="60" t="s">
        <v>374</v>
      </c>
      <c r="E525" s="60"/>
      <c r="F525" s="58"/>
      <c r="G525" s="58"/>
      <c r="H525" s="58"/>
      <c r="I525" s="58"/>
      <c r="J525" s="58"/>
      <c r="K525" s="58"/>
      <c r="L525" s="58"/>
      <c r="M525" s="58"/>
      <c r="N525" s="58"/>
      <c r="O525" s="60"/>
      <c r="P525" s="58"/>
      <c r="Q525" s="58"/>
      <c r="R525" s="59"/>
      <c r="T525" s="182"/>
      <c r="U525" s="182"/>
    </row>
    <row r="526" spans="2:21" ht="9.75" customHeight="1" x14ac:dyDescent="0.4">
      <c r="C526" s="27"/>
      <c r="D526" s="60" t="s">
        <v>374</v>
      </c>
      <c r="E526" s="60"/>
      <c r="F526" s="58"/>
      <c r="G526" s="58"/>
      <c r="H526" s="58"/>
      <c r="I526" s="58"/>
      <c r="J526" s="58"/>
      <c r="K526" s="58"/>
      <c r="L526" s="58"/>
      <c r="M526" s="58"/>
      <c r="N526" s="58"/>
      <c r="O526" s="60"/>
      <c r="P526" s="58"/>
      <c r="Q526" s="58"/>
      <c r="R526" s="59"/>
      <c r="T526" s="182"/>
      <c r="U526" s="182"/>
    </row>
    <row r="527" spans="2:21" ht="9.75" customHeight="1" x14ac:dyDescent="0.4">
      <c r="C527" s="27"/>
      <c r="D527" s="60" t="s">
        <v>374</v>
      </c>
      <c r="E527" s="60"/>
      <c r="F527" s="58"/>
      <c r="G527" s="58"/>
      <c r="H527" s="58"/>
      <c r="I527" s="58"/>
      <c r="J527" s="58"/>
      <c r="K527" s="58"/>
      <c r="L527" s="58"/>
      <c r="M527" s="58"/>
      <c r="N527" s="58"/>
      <c r="O527" s="60"/>
      <c r="P527" s="58"/>
      <c r="Q527" s="58"/>
      <c r="R527" s="59"/>
      <c r="T527" s="182"/>
      <c r="U527" s="182"/>
    </row>
    <row r="528" spans="2:21" ht="9.75" customHeight="1" x14ac:dyDescent="0.4">
      <c r="C528" s="27"/>
      <c r="D528" s="60" t="s">
        <v>374</v>
      </c>
      <c r="E528" s="60"/>
      <c r="F528" s="58"/>
      <c r="G528" s="58"/>
      <c r="H528" s="58"/>
      <c r="I528" s="58"/>
      <c r="J528" s="58"/>
      <c r="K528" s="58"/>
      <c r="L528" s="58"/>
      <c r="M528" s="58"/>
      <c r="N528" s="58"/>
      <c r="O528" s="60"/>
      <c r="P528" s="58"/>
      <c r="Q528" s="58"/>
      <c r="R528" s="59"/>
      <c r="T528" s="182"/>
      <c r="U528" s="182"/>
    </row>
    <row r="529" spans="2:21" ht="9.75" customHeight="1" x14ac:dyDescent="0.4">
      <c r="C529" s="27"/>
      <c r="D529" s="60" t="s">
        <v>374</v>
      </c>
      <c r="E529" s="60"/>
      <c r="F529" s="58"/>
      <c r="G529" s="58"/>
      <c r="H529" s="58"/>
      <c r="I529" s="58"/>
      <c r="J529" s="58"/>
      <c r="K529" s="58"/>
      <c r="L529" s="58"/>
      <c r="M529" s="58"/>
      <c r="N529" s="58"/>
      <c r="O529" s="60"/>
      <c r="P529" s="58"/>
      <c r="Q529" s="58"/>
      <c r="R529" s="59"/>
      <c r="T529" s="182"/>
      <c r="U529" s="182"/>
    </row>
    <row r="530" spans="2:21" ht="9.75" customHeight="1" x14ac:dyDescent="0.4">
      <c r="C530" s="27"/>
      <c r="D530" s="60" t="s">
        <v>310</v>
      </c>
      <c r="E530" s="123">
        <v>1</v>
      </c>
      <c r="F530" s="74">
        <v>0</v>
      </c>
      <c r="G530" s="74">
        <v>0</v>
      </c>
      <c r="H530" s="74">
        <v>0</v>
      </c>
      <c r="I530" s="74">
        <v>0</v>
      </c>
      <c r="J530" s="74">
        <v>0</v>
      </c>
      <c r="K530" s="74">
        <v>0</v>
      </c>
      <c r="L530" s="74">
        <v>0</v>
      </c>
      <c r="M530" s="74">
        <v>1</v>
      </c>
      <c r="N530" s="74">
        <v>1</v>
      </c>
      <c r="O530" s="123">
        <v>1</v>
      </c>
      <c r="P530" s="74">
        <f t="shared" ref="P530:P535" si="62">MIN(F530:O530)</f>
        <v>0</v>
      </c>
      <c r="Q530" s="74">
        <f t="shared" ref="Q530:Q535" si="63">E530-P530</f>
        <v>1</v>
      </c>
      <c r="R530" s="75">
        <f t="shared" ref="R530:R535" si="64">Q530/E530</f>
        <v>1</v>
      </c>
      <c r="T530" s="182"/>
      <c r="U530" s="182"/>
    </row>
    <row r="531" spans="2:21" ht="9.75" customHeight="1" x14ac:dyDescent="0.4">
      <c r="C531" s="27"/>
      <c r="D531" s="60" t="s">
        <v>456</v>
      </c>
      <c r="E531" s="123">
        <v>7</v>
      </c>
      <c r="F531" s="74">
        <v>3</v>
      </c>
      <c r="G531" s="74">
        <v>3</v>
      </c>
      <c r="H531" s="74">
        <v>0</v>
      </c>
      <c r="I531" s="74">
        <v>0</v>
      </c>
      <c r="J531" s="74">
        <v>1</v>
      </c>
      <c r="K531" s="74">
        <v>1</v>
      </c>
      <c r="L531" s="74">
        <v>0</v>
      </c>
      <c r="M531" s="74">
        <v>0</v>
      </c>
      <c r="N531" s="74">
        <v>1</v>
      </c>
      <c r="O531" s="123">
        <v>2</v>
      </c>
      <c r="P531" s="74">
        <f t="shared" si="62"/>
        <v>0</v>
      </c>
      <c r="Q531" s="74">
        <f t="shared" si="63"/>
        <v>7</v>
      </c>
      <c r="R531" s="75">
        <f t="shared" si="64"/>
        <v>1</v>
      </c>
      <c r="T531" s="182"/>
      <c r="U531" s="182"/>
    </row>
    <row r="532" spans="2:21" ht="9.75" customHeight="1" x14ac:dyDescent="0.4">
      <c r="C532" s="27"/>
      <c r="D532" s="60" t="s">
        <v>312</v>
      </c>
      <c r="E532" s="123">
        <v>6</v>
      </c>
      <c r="F532" s="74">
        <v>1</v>
      </c>
      <c r="G532" s="74">
        <v>0</v>
      </c>
      <c r="H532" s="74">
        <v>0</v>
      </c>
      <c r="I532" s="74">
        <v>0</v>
      </c>
      <c r="J532" s="74">
        <v>2</v>
      </c>
      <c r="K532" s="74">
        <v>0</v>
      </c>
      <c r="L532" s="74">
        <v>0</v>
      </c>
      <c r="M532" s="74">
        <v>0</v>
      </c>
      <c r="N532" s="74">
        <v>2</v>
      </c>
      <c r="O532" s="123">
        <v>2</v>
      </c>
      <c r="P532" s="74">
        <f t="shared" si="62"/>
        <v>0</v>
      </c>
      <c r="Q532" s="74">
        <f t="shared" si="63"/>
        <v>6</v>
      </c>
      <c r="R532" s="75">
        <f t="shared" si="64"/>
        <v>1</v>
      </c>
      <c r="T532" s="182"/>
      <c r="U532" s="182"/>
    </row>
    <row r="533" spans="2:21" ht="9.75" customHeight="1" x14ac:dyDescent="0.4">
      <c r="C533" s="27"/>
      <c r="D533" s="64" t="s">
        <v>313</v>
      </c>
      <c r="E533" s="195">
        <v>2</v>
      </c>
      <c r="F533" s="194">
        <v>0</v>
      </c>
      <c r="G533" s="194">
        <v>0</v>
      </c>
      <c r="H533" s="194">
        <v>0</v>
      </c>
      <c r="I533" s="194">
        <v>1</v>
      </c>
      <c r="J533" s="194">
        <v>0</v>
      </c>
      <c r="K533" s="194">
        <v>0</v>
      </c>
      <c r="L533" s="194">
        <v>0</v>
      </c>
      <c r="M533" s="194">
        <v>0</v>
      </c>
      <c r="N533" s="194">
        <v>0</v>
      </c>
      <c r="O533" s="195">
        <v>0</v>
      </c>
      <c r="P533" s="194">
        <f t="shared" si="62"/>
        <v>0</v>
      </c>
      <c r="Q533" s="194">
        <f t="shared" si="63"/>
        <v>2</v>
      </c>
      <c r="R533" s="434">
        <f t="shared" si="64"/>
        <v>1</v>
      </c>
      <c r="T533" s="182"/>
      <c r="U533" s="182"/>
    </row>
    <row r="534" spans="2:21" ht="9.75" customHeight="1" x14ac:dyDescent="0.4">
      <c r="B534" s="219" t="s">
        <v>395</v>
      </c>
      <c r="C534" s="125"/>
      <c r="D534" s="69" t="s">
        <v>314</v>
      </c>
      <c r="E534" s="408">
        <f t="shared" ref="E534:O534" si="65">SUM(E518:E533)</f>
        <v>49</v>
      </c>
      <c r="F534" s="409">
        <f t="shared" si="65"/>
        <v>14</v>
      </c>
      <c r="G534" s="409">
        <f t="shared" si="65"/>
        <v>14</v>
      </c>
      <c r="H534" s="409">
        <f t="shared" si="65"/>
        <v>10</v>
      </c>
      <c r="I534" s="409">
        <f t="shared" si="65"/>
        <v>13</v>
      </c>
      <c r="J534" s="409">
        <f t="shared" si="65"/>
        <v>17</v>
      </c>
      <c r="K534" s="409">
        <f t="shared" si="65"/>
        <v>15</v>
      </c>
      <c r="L534" s="409">
        <f t="shared" si="65"/>
        <v>13</v>
      </c>
      <c r="M534" s="409">
        <f t="shared" si="65"/>
        <v>14</v>
      </c>
      <c r="N534" s="409">
        <f t="shared" si="65"/>
        <v>19</v>
      </c>
      <c r="O534" s="408">
        <f t="shared" si="65"/>
        <v>22</v>
      </c>
      <c r="P534" s="409">
        <f t="shared" si="62"/>
        <v>10</v>
      </c>
      <c r="Q534" s="409">
        <f t="shared" si="63"/>
        <v>39</v>
      </c>
      <c r="R534" s="410">
        <f t="shared" si="64"/>
        <v>0.79591836734693877</v>
      </c>
      <c r="T534" s="182"/>
      <c r="U534" s="182"/>
    </row>
    <row r="535" spans="2:21" ht="9.75" customHeight="1" x14ac:dyDescent="0.4">
      <c r="C535" s="27" t="s">
        <v>171</v>
      </c>
      <c r="D535" s="60" t="s">
        <v>300</v>
      </c>
      <c r="E535" s="123">
        <v>2</v>
      </c>
      <c r="F535" s="74">
        <v>0</v>
      </c>
      <c r="G535" s="74">
        <v>0</v>
      </c>
      <c r="H535" s="74">
        <v>0</v>
      </c>
      <c r="I535" s="74">
        <v>0</v>
      </c>
      <c r="J535" s="74">
        <v>0</v>
      </c>
      <c r="K535" s="74">
        <v>1</v>
      </c>
      <c r="L535" s="74">
        <v>1</v>
      </c>
      <c r="M535" s="74">
        <v>1</v>
      </c>
      <c r="N535" s="74">
        <v>2</v>
      </c>
      <c r="O535" s="123">
        <v>2</v>
      </c>
      <c r="P535" s="74">
        <f t="shared" si="62"/>
        <v>0</v>
      </c>
      <c r="Q535" s="74">
        <f t="shared" si="63"/>
        <v>2</v>
      </c>
      <c r="R535" s="75">
        <f t="shared" si="64"/>
        <v>1</v>
      </c>
      <c r="T535" s="182"/>
      <c r="U535" s="182"/>
    </row>
    <row r="536" spans="2:21" ht="9.75" customHeight="1" x14ac:dyDescent="0.4">
      <c r="C536" s="17"/>
      <c r="D536" s="60" t="s">
        <v>301</v>
      </c>
      <c r="E536" s="60"/>
      <c r="F536" s="58"/>
      <c r="G536" s="58"/>
      <c r="H536" s="58"/>
      <c r="I536" s="58"/>
      <c r="J536" s="58"/>
      <c r="K536" s="58"/>
      <c r="L536" s="58"/>
      <c r="M536" s="58"/>
      <c r="N536" s="58"/>
      <c r="O536" s="60"/>
      <c r="P536" s="58"/>
      <c r="Q536" s="58"/>
      <c r="R536" s="59"/>
      <c r="T536" s="182"/>
      <c r="U536" s="182"/>
    </row>
    <row r="537" spans="2:21" ht="9.75" customHeight="1" x14ac:dyDescent="0.4">
      <c r="C537" s="17"/>
      <c r="D537" s="60" t="s">
        <v>303</v>
      </c>
      <c r="E537" s="60"/>
      <c r="F537" s="58"/>
      <c r="G537" s="58"/>
      <c r="H537" s="58"/>
      <c r="I537" s="58"/>
      <c r="J537" s="58"/>
      <c r="K537" s="58"/>
      <c r="L537" s="58"/>
      <c r="M537" s="58"/>
      <c r="N537" s="58"/>
      <c r="O537" s="60"/>
      <c r="P537" s="58"/>
      <c r="Q537" s="58"/>
      <c r="R537" s="59"/>
      <c r="T537" s="182"/>
      <c r="U537" s="182"/>
    </row>
    <row r="538" spans="2:21" ht="9.75" customHeight="1" x14ac:dyDescent="0.4">
      <c r="C538" s="17"/>
      <c r="D538" s="60" t="s">
        <v>369</v>
      </c>
      <c r="E538" s="60"/>
      <c r="F538" s="58"/>
      <c r="G538" s="58"/>
      <c r="H538" s="58"/>
      <c r="I538" s="58"/>
      <c r="J538" s="58"/>
      <c r="K538" s="58"/>
      <c r="L538" s="58"/>
      <c r="M538" s="58"/>
      <c r="N538" s="58"/>
      <c r="O538" s="60"/>
      <c r="P538" s="58"/>
      <c r="Q538" s="58"/>
      <c r="R538" s="59"/>
      <c r="T538" s="182"/>
      <c r="U538" s="182"/>
    </row>
    <row r="539" spans="2:21" ht="9.75" customHeight="1" x14ac:dyDescent="0.4">
      <c r="C539" s="27"/>
      <c r="D539" s="60" t="s">
        <v>369</v>
      </c>
      <c r="E539" s="60"/>
      <c r="F539" s="58"/>
      <c r="G539" s="58"/>
      <c r="H539" s="58"/>
      <c r="I539" s="58"/>
      <c r="J539" s="58"/>
      <c r="K539" s="58"/>
      <c r="L539" s="58"/>
      <c r="M539" s="58"/>
      <c r="N539" s="58"/>
      <c r="O539" s="60"/>
      <c r="P539" s="58"/>
      <c r="Q539" s="58"/>
      <c r="R539" s="59"/>
      <c r="T539" s="182"/>
      <c r="U539" s="182"/>
    </row>
    <row r="540" spans="2:21" ht="9.75" customHeight="1" x14ac:dyDescent="0.4">
      <c r="C540" s="27"/>
      <c r="D540" s="60" t="s">
        <v>308</v>
      </c>
      <c r="E540" s="60"/>
      <c r="F540" s="58"/>
      <c r="G540" s="58"/>
      <c r="H540" s="58"/>
      <c r="I540" s="58"/>
      <c r="J540" s="58"/>
      <c r="K540" s="58"/>
      <c r="L540" s="58"/>
      <c r="M540" s="58"/>
      <c r="N540" s="58"/>
      <c r="O540" s="60"/>
      <c r="P540" s="58"/>
      <c r="Q540" s="58"/>
      <c r="R540" s="59"/>
      <c r="T540" s="182"/>
      <c r="U540" s="182"/>
    </row>
    <row r="541" spans="2:21" ht="9.75" customHeight="1" x14ac:dyDescent="0.4">
      <c r="C541" s="27"/>
      <c r="D541" s="60" t="s">
        <v>374</v>
      </c>
      <c r="E541" s="60"/>
      <c r="F541" s="58"/>
      <c r="G541" s="58"/>
      <c r="H541" s="58"/>
      <c r="I541" s="58"/>
      <c r="J541" s="58"/>
      <c r="K541" s="58"/>
      <c r="L541" s="58"/>
      <c r="M541" s="58"/>
      <c r="N541" s="58"/>
      <c r="O541" s="60"/>
      <c r="P541" s="58"/>
      <c r="Q541" s="58"/>
      <c r="R541" s="59"/>
      <c r="T541" s="182"/>
      <c r="U541" s="182"/>
    </row>
    <row r="542" spans="2:21" ht="9.75" customHeight="1" x14ac:dyDescent="0.4">
      <c r="C542" s="27"/>
      <c r="D542" s="60" t="s">
        <v>374</v>
      </c>
      <c r="E542" s="60"/>
      <c r="F542" s="58"/>
      <c r="G542" s="58"/>
      <c r="H542" s="58"/>
      <c r="I542" s="58"/>
      <c r="J542" s="58"/>
      <c r="K542" s="58"/>
      <c r="L542" s="58"/>
      <c r="M542" s="58"/>
      <c r="N542" s="58"/>
      <c r="O542" s="60"/>
      <c r="P542" s="58"/>
      <c r="Q542" s="58"/>
      <c r="R542" s="59"/>
      <c r="T542" s="182"/>
      <c r="U542" s="182"/>
    </row>
    <row r="543" spans="2:21" ht="9.75" customHeight="1" x14ac:dyDescent="0.4">
      <c r="C543" s="27"/>
      <c r="D543" s="60" t="s">
        <v>374</v>
      </c>
      <c r="E543" s="60"/>
      <c r="F543" s="58"/>
      <c r="G543" s="58"/>
      <c r="H543" s="58"/>
      <c r="I543" s="58"/>
      <c r="J543" s="58"/>
      <c r="K543" s="58"/>
      <c r="L543" s="58"/>
      <c r="M543" s="58"/>
      <c r="N543" s="58"/>
      <c r="O543" s="60"/>
      <c r="P543" s="58"/>
      <c r="Q543" s="58"/>
      <c r="R543" s="59"/>
      <c r="T543" s="182"/>
      <c r="U543" s="182"/>
    </row>
    <row r="544" spans="2:21" ht="9.75" customHeight="1" x14ac:dyDescent="0.4">
      <c r="C544" s="27"/>
      <c r="D544" s="60" t="s">
        <v>374</v>
      </c>
      <c r="E544" s="60"/>
      <c r="F544" s="58"/>
      <c r="G544" s="58"/>
      <c r="H544" s="58"/>
      <c r="I544" s="58"/>
      <c r="J544" s="58"/>
      <c r="K544" s="58"/>
      <c r="L544" s="58"/>
      <c r="M544" s="58"/>
      <c r="N544" s="58"/>
      <c r="O544" s="60"/>
      <c r="P544" s="58"/>
      <c r="Q544" s="58"/>
      <c r="R544" s="59"/>
      <c r="T544" s="182"/>
      <c r="U544" s="182"/>
    </row>
    <row r="545" spans="2:21" ht="9.75" customHeight="1" x14ac:dyDescent="0.4">
      <c r="C545" s="27"/>
      <c r="D545" s="60" t="s">
        <v>374</v>
      </c>
      <c r="E545" s="60"/>
      <c r="F545" s="58"/>
      <c r="G545" s="58"/>
      <c r="H545" s="58"/>
      <c r="I545" s="58"/>
      <c r="J545" s="58"/>
      <c r="K545" s="58"/>
      <c r="L545" s="58"/>
      <c r="M545" s="58"/>
      <c r="N545" s="58"/>
      <c r="O545" s="60"/>
      <c r="P545" s="58"/>
      <c r="Q545" s="58"/>
      <c r="R545" s="59"/>
      <c r="T545" s="182"/>
      <c r="U545" s="182"/>
    </row>
    <row r="546" spans="2:21" ht="9.75" customHeight="1" x14ac:dyDescent="0.4">
      <c r="C546" s="27"/>
      <c r="D546" s="60" t="s">
        <v>374</v>
      </c>
      <c r="E546" s="60"/>
      <c r="F546" s="58"/>
      <c r="G546" s="58"/>
      <c r="H546" s="58"/>
      <c r="I546" s="58"/>
      <c r="J546" s="58"/>
      <c r="K546" s="58"/>
      <c r="L546" s="58"/>
      <c r="M546" s="58"/>
      <c r="N546" s="58"/>
      <c r="O546" s="60"/>
      <c r="P546" s="58"/>
      <c r="Q546" s="58"/>
      <c r="R546" s="59"/>
      <c r="T546" s="182"/>
      <c r="U546" s="182"/>
    </row>
    <row r="547" spans="2:21" ht="9.75" customHeight="1" x14ac:dyDescent="0.4">
      <c r="C547" s="27"/>
      <c r="D547" s="60" t="s">
        <v>310</v>
      </c>
      <c r="E547" s="60"/>
      <c r="F547" s="58"/>
      <c r="G547" s="58"/>
      <c r="H547" s="58"/>
      <c r="I547" s="58"/>
      <c r="J547" s="58"/>
      <c r="K547" s="58"/>
      <c r="L547" s="58"/>
      <c r="M547" s="58"/>
      <c r="N547" s="58"/>
      <c r="O547" s="60"/>
      <c r="P547" s="58"/>
      <c r="Q547" s="58"/>
      <c r="R547" s="59"/>
      <c r="T547" s="182"/>
      <c r="U547" s="182"/>
    </row>
    <row r="548" spans="2:21" ht="9.75" customHeight="1" x14ac:dyDescent="0.4">
      <c r="C548" s="27"/>
      <c r="D548" s="60" t="s">
        <v>311</v>
      </c>
      <c r="E548" s="60"/>
      <c r="F548" s="58"/>
      <c r="G548" s="58"/>
      <c r="H548" s="58"/>
      <c r="I548" s="58"/>
      <c r="J548" s="58"/>
      <c r="K548" s="58"/>
      <c r="L548" s="58"/>
      <c r="M548" s="58"/>
      <c r="N548" s="58"/>
      <c r="O548" s="60"/>
      <c r="P548" s="58"/>
      <c r="Q548" s="58"/>
      <c r="R548" s="59"/>
      <c r="T548" s="182"/>
      <c r="U548" s="182"/>
    </row>
    <row r="549" spans="2:21" ht="9.75" customHeight="1" x14ac:dyDescent="0.4">
      <c r="C549" s="27"/>
      <c r="D549" s="60" t="s">
        <v>312</v>
      </c>
      <c r="E549" s="123">
        <v>6</v>
      </c>
      <c r="F549" s="74">
        <v>3</v>
      </c>
      <c r="G549" s="74">
        <v>4</v>
      </c>
      <c r="H549" s="74">
        <v>1</v>
      </c>
      <c r="I549" s="74">
        <v>4</v>
      </c>
      <c r="J549" s="74">
        <v>2</v>
      </c>
      <c r="K549" s="74">
        <v>2</v>
      </c>
      <c r="L549" s="74">
        <v>1</v>
      </c>
      <c r="M549" s="74">
        <v>0</v>
      </c>
      <c r="N549" s="74">
        <v>0</v>
      </c>
      <c r="O549" s="123">
        <v>0</v>
      </c>
      <c r="P549" s="74">
        <f>MIN(F549:O549)</f>
        <v>0</v>
      </c>
      <c r="Q549" s="74">
        <f>E549-P549</f>
        <v>6</v>
      </c>
      <c r="R549" s="75">
        <f>Q549/E549</f>
        <v>1</v>
      </c>
      <c r="T549" s="182"/>
      <c r="U549" s="182"/>
    </row>
    <row r="550" spans="2:21" ht="9.75" customHeight="1" x14ac:dyDescent="0.4">
      <c r="C550" s="27"/>
      <c r="D550" s="64" t="s">
        <v>313</v>
      </c>
      <c r="E550" s="195"/>
      <c r="F550" s="194"/>
      <c r="G550" s="194"/>
      <c r="H550" s="194"/>
      <c r="I550" s="194"/>
      <c r="J550" s="194"/>
      <c r="K550" s="194"/>
      <c r="L550" s="194"/>
      <c r="M550" s="194"/>
      <c r="N550" s="194"/>
      <c r="O550" s="195"/>
      <c r="P550" s="194"/>
      <c r="Q550" s="194"/>
      <c r="R550" s="434"/>
      <c r="T550" s="182"/>
      <c r="U550" s="182"/>
    </row>
    <row r="551" spans="2:21" ht="9.75" customHeight="1" x14ac:dyDescent="0.4">
      <c r="B551" s="219" t="s">
        <v>395</v>
      </c>
      <c r="C551" s="125"/>
      <c r="D551" s="69" t="s">
        <v>314</v>
      </c>
      <c r="E551" s="408">
        <f t="shared" ref="E551:O551" si="66">SUM(E535:E550)</f>
        <v>8</v>
      </c>
      <c r="F551" s="409">
        <f t="shared" si="66"/>
        <v>3</v>
      </c>
      <c r="G551" s="409">
        <f t="shared" si="66"/>
        <v>4</v>
      </c>
      <c r="H551" s="409">
        <f t="shared" si="66"/>
        <v>1</v>
      </c>
      <c r="I551" s="409">
        <f t="shared" si="66"/>
        <v>4</v>
      </c>
      <c r="J551" s="409">
        <f t="shared" si="66"/>
        <v>2</v>
      </c>
      <c r="K551" s="409">
        <f t="shared" si="66"/>
        <v>3</v>
      </c>
      <c r="L551" s="409">
        <f t="shared" si="66"/>
        <v>2</v>
      </c>
      <c r="M551" s="409">
        <f t="shared" si="66"/>
        <v>1</v>
      </c>
      <c r="N551" s="409">
        <f t="shared" si="66"/>
        <v>2</v>
      </c>
      <c r="O551" s="408">
        <f t="shared" si="66"/>
        <v>2</v>
      </c>
      <c r="P551" s="409">
        <f>MIN(F551:O551)</f>
        <v>1</v>
      </c>
      <c r="Q551" s="409">
        <f>E551-P551</f>
        <v>7</v>
      </c>
      <c r="R551" s="410">
        <f>Q551/E551</f>
        <v>0.875</v>
      </c>
      <c r="T551" s="182"/>
      <c r="U551" s="182"/>
    </row>
    <row r="552" spans="2:21" ht="9.75" customHeight="1" x14ac:dyDescent="0.4">
      <c r="C552" s="27" t="s">
        <v>183</v>
      </c>
      <c r="D552" s="60" t="s">
        <v>300</v>
      </c>
      <c r="E552" s="123"/>
      <c r="F552" s="74"/>
      <c r="G552" s="74"/>
      <c r="H552" s="74"/>
      <c r="I552" s="74"/>
      <c r="J552" s="74"/>
      <c r="K552" s="74"/>
      <c r="L552" s="74"/>
      <c r="M552" s="74"/>
      <c r="N552" s="74"/>
      <c r="O552" s="123"/>
      <c r="P552" s="74"/>
      <c r="Q552" s="74"/>
      <c r="R552" s="75"/>
      <c r="T552" s="182"/>
      <c r="U552" s="182"/>
    </row>
    <row r="553" spans="2:21" ht="9.75" customHeight="1" x14ac:dyDescent="0.4">
      <c r="C553" s="17"/>
      <c r="D553" s="60" t="s">
        <v>301</v>
      </c>
      <c r="E553" s="123"/>
      <c r="F553" s="74"/>
      <c r="G553" s="74"/>
      <c r="H553" s="74"/>
      <c r="I553" s="74"/>
      <c r="J553" s="74"/>
      <c r="K553" s="74"/>
      <c r="L553" s="74"/>
      <c r="M553" s="74"/>
      <c r="N553" s="74"/>
      <c r="O553" s="123"/>
      <c r="P553" s="74"/>
      <c r="Q553" s="74"/>
      <c r="R553" s="75"/>
      <c r="T553" s="182"/>
      <c r="U553" s="182"/>
    </row>
    <row r="554" spans="2:21" ht="9.75" customHeight="1" x14ac:dyDescent="0.4">
      <c r="C554" s="17"/>
      <c r="D554" s="60" t="s">
        <v>303</v>
      </c>
      <c r="E554" s="60"/>
      <c r="F554" s="58"/>
      <c r="G554" s="58"/>
      <c r="H554" s="58"/>
      <c r="I554" s="58"/>
      <c r="J554" s="58"/>
      <c r="K554" s="58"/>
      <c r="L554" s="58"/>
      <c r="M554" s="58"/>
      <c r="N554" s="58"/>
      <c r="O554" s="60"/>
      <c r="P554" s="58"/>
      <c r="Q554" s="58"/>
      <c r="R554" s="59"/>
      <c r="T554" s="182"/>
      <c r="U554" s="182"/>
    </row>
    <row r="555" spans="2:21" ht="9.75" customHeight="1" x14ac:dyDescent="0.4">
      <c r="C555" s="17"/>
      <c r="D555" s="60" t="s">
        <v>369</v>
      </c>
      <c r="E555" s="60"/>
      <c r="F555" s="58"/>
      <c r="G555" s="58"/>
      <c r="H555" s="58"/>
      <c r="I555" s="58"/>
      <c r="J555" s="58"/>
      <c r="K555" s="58"/>
      <c r="L555" s="58"/>
      <c r="M555" s="58"/>
      <c r="N555" s="58"/>
      <c r="O555" s="60"/>
      <c r="P555" s="58"/>
      <c r="Q555" s="58"/>
      <c r="R555" s="59"/>
      <c r="T555" s="182"/>
      <c r="U555" s="182"/>
    </row>
    <row r="556" spans="2:21" ht="9.75" customHeight="1" x14ac:dyDescent="0.4">
      <c r="C556" s="27"/>
      <c r="D556" s="60" t="s">
        <v>369</v>
      </c>
      <c r="E556" s="60"/>
      <c r="F556" s="58"/>
      <c r="G556" s="58"/>
      <c r="H556" s="58"/>
      <c r="I556" s="58"/>
      <c r="J556" s="58"/>
      <c r="K556" s="58"/>
      <c r="L556" s="58"/>
      <c r="M556" s="58"/>
      <c r="N556" s="58"/>
      <c r="O556" s="60"/>
      <c r="P556" s="58"/>
      <c r="Q556" s="58"/>
      <c r="R556" s="59"/>
      <c r="T556" s="182"/>
      <c r="U556" s="182"/>
    </row>
    <row r="557" spans="2:21" ht="9.75" customHeight="1" x14ac:dyDescent="0.4">
      <c r="C557" s="27"/>
      <c r="D557" s="60" t="s">
        <v>308</v>
      </c>
      <c r="E557" s="123">
        <v>16</v>
      </c>
      <c r="F557" s="74">
        <v>15</v>
      </c>
      <c r="G557" s="74">
        <v>13</v>
      </c>
      <c r="H557" s="74">
        <v>8</v>
      </c>
      <c r="I557" s="74">
        <v>9</v>
      </c>
      <c r="J557" s="74">
        <v>9</v>
      </c>
      <c r="K557" s="74">
        <v>9</v>
      </c>
      <c r="L557" s="74">
        <v>6</v>
      </c>
      <c r="M557" s="74">
        <v>8</v>
      </c>
      <c r="N557" s="74">
        <v>11</v>
      </c>
      <c r="O557" s="123">
        <v>14</v>
      </c>
      <c r="P557" s="74">
        <f t="shared" ref="P557:P559" si="67">MIN(F557:O557)</f>
        <v>6</v>
      </c>
      <c r="Q557" s="74">
        <f t="shared" ref="Q557:Q559" si="68">E557-P557</f>
        <v>10</v>
      </c>
      <c r="R557" s="75">
        <f t="shared" ref="R557:R559" si="69">Q557/E557</f>
        <v>0.625</v>
      </c>
      <c r="T557" s="182"/>
      <c r="U557" s="182"/>
    </row>
    <row r="558" spans="2:21" ht="9.75" customHeight="1" x14ac:dyDescent="0.4">
      <c r="C558" s="27"/>
      <c r="D558" s="60" t="s">
        <v>522</v>
      </c>
      <c r="E558" s="123">
        <v>16</v>
      </c>
      <c r="F558" s="74">
        <v>11</v>
      </c>
      <c r="G558" s="74">
        <v>10</v>
      </c>
      <c r="H558" s="74">
        <v>9</v>
      </c>
      <c r="I558" s="74">
        <v>12</v>
      </c>
      <c r="J558" s="74">
        <v>11</v>
      </c>
      <c r="K558" s="74">
        <v>11</v>
      </c>
      <c r="L558" s="74">
        <v>11</v>
      </c>
      <c r="M558" s="74">
        <v>12</v>
      </c>
      <c r="N558" s="74">
        <v>11</v>
      </c>
      <c r="O558" s="123">
        <v>15</v>
      </c>
      <c r="P558" s="74">
        <f t="shared" si="67"/>
        <v>9</v>
      </c>
      <c r="Q558" s="74">
        <f t="shared" si="68"/>
        <v>7</v>
      </c>
      <c r="R558" s="75">
        <f t="shared" si="69"/>
        <v>0.4375</v>
      </c>
      <c r="T558" s="182"/>
      <c r="U558" s="182"/>
    </row>
    <row r="559" spans="2:21" ht="9.75" customHeight="1" x14ac:dyDescent="0.4">
      <c r="C559" s="27"/>
      <c r="D559" s="60" t="s">
        <v>523</v>
      </c>
      <c r="E559" s="123">
        <v>1</v>
      </c>
      <c r="F559" s="74">
        <v>0</v>
      </c>
      <c r="G559" s="74">
        <v>0</v>
      </c>
      <c r="H559" s="74">
        <v>1</v>
      </c>
      <c r="I559" s="74">
        <v>0</v>
      </c>
      <c r="J559" s="74">
        <v>0</v>
      </c>
      <c r="K559" s="74">
        <v>0</v>
      </c>
      <c r="L559" s="74">
        <v>0</v>
      </c>
      <c r="M559" s="74">
        <v>0</v>
      </c>
      <c r="N559" s="74">
        <v>0</v>
      </c>
      <c r="O559" s="123">
        <v>0</v>
      </c>
      <c r="P559" s="74">
        <f t="shared" si="67"/>
        <v>0</v>
      </c>
      <c r="Q559" s="74">
        <f t="shared" si="68"/>
        <v>1</v>
      </c>
      <c r="R559" s="75">
        <f t="shared" si="69"/>
        <v>1</v>
      </c>
      <c r="T559" s="182"/>
      <c r="U559" s="182"/>
    </row>
    <row r="560" spans="2:21" ht="9.75" customHeight="1" x14ac:dyDescent="0.4">
      <c r="C560" s="27"/>
      <c r="D560" s="60" t="s">
        <v>524</v>
      </c>
      <c r="E560" s="123">
        <v>10</v>
      </c>
      <c r="F560" s="74" t="s">
        <v>525</v>
      </c>
      <c r="G560" s="74" t="s">
        <v>525</v>
      </c>
      <c r="H560" s="74" t="s">
        <v>525</v>
      </c>
      <c r="I560" s="74" t="s">
        <v>525</v>
      </c>
      <c r="J560" s="74" t="s">
        <v>525</v>
      </c>
      <c r="K560" s="74" t="s">
        <v>525</v>
      </c>
      <c r="L560" s="74" t="s">
        <v>525</v>
      </c>
      <c r="M560" s="74" t="s">
        <v>525</v>
      </c>
      <c r="N560" s="74" t="s">
        <v>525</v>
      </c>
      <c r="O560" s="123" t="s">
        <v>525</v>
      </c>
      <c r="P560" s="74" t="s">
        <v>525</v>
      </c>
      <c r="Q560" s="74" t="s">
        <v>525</v>
      </c>
      <c r="R560" s="75" t="s">
        <v>525</v>
      </c>
      <c r="T560" s="182"/>
      <c r="U560" s="182"/>
    </row>
    <row r="561" spans="2:21" ht="9.75" customHeight="1" x14ac:dyDescent="0.4">
      <c r="C561" s="27"/>
      <c r="D561" s="60" t="s">
        <v>495</v>
      </c>
      <c r="E561" s="60">
        <v>20</v>
      </c>
      <c r="F561" s="58">
        <v>9</v>
      </c>
      <c r="G561" s="58">
        <v>11</v>
      </c>
      <c r="H561" s="58">
        <v>10</v>
      </c>
      <c r="I561" s="58">
        <v>8</v>
      </c>
      <c r="J561" s="58">
        <v>9</v>
      </c>
      <c r="K561" s="58">
        <v>11</v>
      </c>
      <c r="L561" s="58">
        <v>5</v>
      </c>
      <c r="M561" s="58">
        <v>3</v>
      </c>
      <c r="N561" s="58">
        <v>7</v>
      </c>
      <c r="O561" s="60">
        <v>8</v>
      </c>
      <c r="P561" s="74">
        <f t="shared" ref="P561:P563" si="70">MIN(F561:O561)</f>
        <v>3</v>
      </c>
      <c r="Q561" s="74">
        <f t="shared" ref="Q561:Q563" si="71">E561-P561</f>
        <v>17</v>
      </c>
      <c r="R561" s="75">
        <f t="shared" ref="R561:R563" si="72">Q561/E561</f>
        <v>0.85</v>
      </c>
      <c r="T561" s="182"/>
      <c r="U561" s="182"/>
    </row>
    <row r="562" spans="2:21" ht="9.75" customHeight="1" x14ac:dyDescent="0.4">
      <c r="C562" s="27"/>
      <c r="D562" s="60" t="s">
        <v>310</v>
      </c>
      <c r="E562" s="123">
        <f>6+1</f>
        <v>7</v>
      </c>
      <c r="F562" s="74">
        <v>0</v>
      </c>
      <c r="G562" s="74">
        <v>0</v>
      </c>
      <c r="H562" s="74">
        <v>0</v>
      </c>
      <c r="I562" s="74">
        <v>0</v>
      </c>
      <c r="J562" s="74">
        <v>0</v>
      </c>
      <c r="K562" s="74">
        <v>0</v>
      </c>
      <c r="L562" s="74">
        <v>0</v>
      </c>
      <c r="M562" s="74">
        <v>0</v>
      </c>
      <c r="N562" s="74">
        <v>1</v>
      </c>
      <c r="O562" s="123">
        <v>1</v>
      </c>
      <c r="P562" s="74">
        <f t="shared" si="70"/>
        <v>0</v>
      </c>
      <c r="Q562" s="74">
        <f t="shared" si="71"/>
        <v>7</v>
      </c>
      <c r="R562" s="75">
        <f t="shared" si="72"/>
        <v>1</v>
      </c>
      <c r="T562" s="182"/>
      <c r="U562" s="182"/>
    </row>
    <row r="563" spans="2:21" ht="9.75" customHeight="1" x14ac:dyDescent="0.4">
      <c r="C563" s="27"/>
      <c r="D563" s="60" t="s">
        <v>311</v>
      </c>
      <c r="E563" s="123">
        <v>2</v>
      </c>
      <c r="F563" s="74">
        <v>2</v>
      </c>
      <c r="G563" s="74">
        <v>1</v>
      </c>
      <c r="H563" s="74">
        <v>2</v>
      </c>
      <c r="I563" s="74">
        <v>2</v>
      </c>
      <c r="J563" s="74">
        <v>2</v>
      </c>
      <c r="K563" s="74">
        <v>2</v>
      </c>
      <c r="L563" s="74">
        <v>2</v>
      </c>
      <c r="M563" s="74">
        <v>2</v>
      </c>
      <c r="N563" s="74">
        <v>1</v>
      </c>
      <c r="O563" s="123">
        <v>1</v>
      </c>
      <c r="P563" s="74">
        <f t="shared" si="70"/>
        <v>1</v>
      </c>
      <c r="Q563" s="74">
        <f t="shared" si="71"/>
        <v>1</v>
      </c>
      <c r="R563" s="75">
        <f t="shared" si="72"/>
        <v>0.5</v>
      </c>
      <c r="T563" s="182"/>
      <c r="U563" s="182"/>
    </row>
    <row r="564" spans="2:21" ht="9.75" customHeight="1" x14ac:dyDescent="0.4">
      <c r="C564" s="27"/>
      <c r="D564" s="60" t="s">
        <v>312</v>
      </c>
      <c r="E564" s="60"/>
      <c r="F564" s="58"/>
      <c r="G564" s="58"/>
      <c r="H564" s="58"/>
      <c r="I564" s="58"/>
      <c r="J564" s="58"/>
      <c r="K564" s="58"/>
      <c r="L564" s="58"/>
      <c r="M564" s="58"/>
      <c r="N564" s="58"/>
      <c r="O564" s="60"/>
      <c r="P564" s="58"/>
      <c r="Q564" s="58"/>
      <c r="R564" s="59"/>
      <c r="T564" s="182"/>
      <c r="U564" s="182"/>
    </row>
    <row r="565" spans="2:21" ht="9.75" customHeight="1" x14ac:dyDescent="0.4">
      <c r="C565" s="27"/>
      <c r="D565" s="64" t="s">
        <v>313</v>
      </c>
      <c r="E565" s="195"/>
      <c r="F565" s="194"/>
      <c r="G565" s="194"/>
      <c r="H565" s="194"/>
      <c r="I565" s="194"/>
      <c r="J565" s="194"/>
      <c r="K565" s="194"/>
      <c r="L565" s="194"/>
      <c r="M565" s="194"/>
      <c r="N565" s="194"/>
      <c r="O565" s="195"/>
      <c r="P565" s="194"/>
      <c r="Q565" s="194"/>
      <c r="R565" s="434"/>
      <c r="T565" s="182"/>
      <c r="U565" s="182"/>
    </row>
    <row r="566" spans="2:21" ht="9.75" customHeight="1" x14ac:dyDescent="0.4">
      <c r="B566" s="219" t="s">
        <v>395</v>
      </c>
      <c r="C566" s="125"/>
      <c r="D566" s="69" t="s">
        <v>314</v>
      </c>
      <c r="E566" s="408">
        <f t="shared" ref="E566:O566" si="73">SUM(E552:E565)</f>
        <v>72</v>
      </c>
      <c r="F566" s="409">
        <f t="shared" si="73"/>
        <v>37</v>
      </c>
      <c r="G566" s="409">
        <f t="shared" si="73"/>
        <v>35</v>
      </c>
      <c r="H566" s="409">
        <f t="shared" si="73"/>
        <v>30</v>
      </c>
      <c r="I566" s="409">
        <f t="shared" si="73"/>
        <v>31</v>
      </c>
      <c r="J566" s="409">
        <f t="shared" si="73"/>
        <v>31</v>
      </c>
      <c r="K566" s="409">
        <f t="shared" si="73"/>
        <v>33</v>
      </c>
      <c r="L566" s="409">
        <f t="shared" si="73"/>
        <v>24</v>
      </c>
      <c r="M566" s="409">
        <f t="shared" si="73"/>
        <v>25</v>
      </c>
      <c r="N566" s="409">
        <f t="shared" si="73"/>
        <v>31</v>
      </c>
      <c r="O566" s="408">
        <f t="shared" si="73"/>
        <v>39</v>
      </c>
      <c r="P566" s="409">
        <f>MIN(F566:O566)</f>
        <v>24</v>
      </c>
      <c r="Q566" s="409">
        <f>E566-P566</f>
        <v>48</v>
      </c>
      <c r="R566" s="410">
        <f>Q566/E566</f>
        <v>0.66666666666666663</v>
      </c>
      <c r="T566" s="182"/>
      <c r="U566" s="182"/>
    </row>
    <row r="567" spans="2:21" ht="9.75" customHeight="1" x14ac:dyDescent="0.4">
      <c r="C567" s="418" t="s">
        <v>193</v>
      </c>
      <c r="D567" s="139" t="s">
        <v>300</v>
      </c>
      <c r="E567" s="139"/>
      <c r="F567" s="138"/>
      <c r="G567" s="138"/>
      <c r="H567" s="138"/>
      <c r="I567" s="138"/>
      <c r="J567" s="138"/>
      <c r="K567" s="138"/>
      <c r="L567" s="138"/>
      <c r="M567" s="138"/>
      <c r="N567" s="138"/>
      <c r="O567" s="139"/>
      <c r="P567" s="138"/>
      <c r="Q567" s="138"/>
      <c r="R567" s="137"/>
      <c r="T567" s="182"/>
      <c r="U567" s="182"/>
    </row>
    <row r="568" spans="2:21" ht="9.75" customHeight="1" x14ac:dyDescent="0.4">
      <c r="C568" s="24" t="s">
        <v>526</v>
      </c>
      <c r="D568" s="139" t="s">
        <v>301</v>
      </c>
      <c r="E568" s="139"/>
      <c r="F568" s="138"/>
      <c r="G568" s="138"/>
      <c r="H568" s="138"/>
      <c r="I568" s="138"/>
      <c r="J568" s="138"/>
      <c r="K568" s="138"/>
      <c r="L568" s="138"/>
      <c r="M568" s="138"/>
      <c r="N568" s="138"/>
      <c r="O568" s="139"/>
      <c r="P568" s="138"/>
      <c r="Q568" s="138"/>
      <c r="R568" s="137"/>
      <c r="T568" s="182"/>
      <c r="U568" s="182"/>
    </row>
    <row r="569" spans="2:21" ht="9.75" customHeight="1" x14ac:dyDescent="0.4">
      <c r="C569" s="24" t="s">
        <v>332</v>
      </c>
      <c r="D569" s="139" t="s">
        <v>303</v>
      </c>
      <c r="E569" s="139"/>
      <c r="F569" s="138"/>
      <c r="G569" s="138"/>
      <c r="H569" s="138"/>
      <c r="I569" s="138"/>
      <c r="J569" s="138"/>
      <c r="K569" s="138"/>
      <c r="L569" s="138"/>
      <c r="M569" s="138"/>
      <c r="N569" s="138"/>
      <c r="O569" s="139"/>
      <c r="P569" s="138"/>
      <c r="Q569" s="138"/>
      <c r="R569" s="137"/>
      <c r="T569" s="182"/>
      <c r="U569" s="182"/>
    </row>
    <row r="570" spans="2:21" ht="9.75" customHeight="1" x14ac:dyDescent="0.4">
      <c r="C570" s="24" t="s">
        <v>527</v>
      </c>
      <c r="D570" s="139" t="s">
        <v>369</v>
      </c>
      <c r="E570" s="139"/>
      <c r="F570" s="138"/>
      <c r="G570" s="138"/>
      <c r="H570" s="138"/>
      <c r="I570" s="138"/>
      <c r="J570" s="138"/>
      <c r="K570" s="138"/>
      <c r="L570" s="138"/>
      <c r="M570" s="138"/>
      <c r="N570" s="138"/>
      <c r="O570" s="139"/>
      <c r="P570" s="138"/>
      <c r="Q570" s="138"/>
      <c r="R570" s="137"/>
      <c r="T570" s="182"/>
      <c r="U570" s="182"/>
    </row>
    <row r="571" spans="2:21" ht="9.75" customHeight="1" x14ac:dyDescent="0.4">
      <c r="C571" s="418"/>
      <c r="D571" s="139" t="s">
        <v>308</v>
      </c>
      <c r="E571" s="226"/>
      <c r="F571" s="225"/>
      <c r="G571" s="225"/>
      <c r="H571" s="225"/>
      <c r="I571" s="225"/>
      <c r="J571" s="225"/>
      <c r="K571" s="225"/>
      <c r="L571" s="225"/>
      <c r="M571" s="225"/>
      <c r="N571" s="225"/>
      <c r="O571" s="226"/>
      <c r="P571" s="225"/>
      <c r="Q571" s="225"/>
      <c r="R571" s="421"/>
      <c r="T571" s="182"/>
      <c r="U571" s="182"/>
    </row>
    <row r="572" spans="2:21" ht="9.75" customHeight="1" x14ac:dyDescent="0.4">
      <c r="C572" s="418"/>
      <c r="D572" s="139" t="s">
        <v>374</v>
      </c>
      <c r="E572" s="139"/>
      <c r="F572" s="138"/>
      <c r="G572" s="138"/>
      <c r="H572" s="138"/>
      <c r="I572" s="138"/>
      <c r="J572" s="138"/>
      <c r="K572" s="138"/>
      <c r="L572" s="138"/>
      <c r="M572" s="138"/>
      <c r="N572" s="138"/>
      <c r="O572" s="139"/>
      <c r="P572" s="138"/>
      <c r="Q572" s="138"/>
      <c r="R572" s="137"/>
      <c r="T572" s="182"/>
      <c r="U572" s="182"/>
    </row>
    <row r="573" spans="2:21" ht="9.75" customHeight="1" x14ac:dyDescent="0.4">
      <c r="C573" s="418"/>
      <c r="D573" s="139" t="s">
        <v>310</v>
      </c>
      <c r="E573" s="139"/>
      <c r="F573" s="138"/>
      <c r="G573" s="138"/>
      <c r="H573" s="138"/>
      <c r="I573" s="138"/>
      <c r="J573" s="138"/>
      <c r="K573" s="138"/>
      <c r="L573" s="138"/>
      <c r="M573" s="138"/>
      <c r="N573" s="138"/>
      <c r="O573" s="139"/>
      <c r="P573" s="138"/>
      <c r="Q573" s="138"/>
      <c r="R573" s="137"/>
      <c r="T573" s="182"/>
      <c r="U573" s="182"/>
    </row>
    <row r="574" spans="2:21" ht="9.75" customHeight="1" x14ac:dyDescent="0.4">
      <c r="C574" s="418"/>
      <c r="D574" s="139" t="s">
        <v>311</v>
      </c>
      <c r="E574" s="139"/>
      <c r="F574" s="138"/>
      <c r="G574" s="138"/>
      <c r="H574" s="138"/>
      <c r="I574" s="138"/>
      <c r="J574" s="138"/>
      <c r="K574" s="138"/>
      <c r="L574" s="138"/>
      <c r="M574" s="138"/>
      <c r="N574" s="138"/>
      <c r="O574" s="139"/>
      <c r="P574" s="138"/>
      <c r="Q574" s="138"/>
      <c r="R574" s="137"/>
      <c r="T574" s="182"/>
      <c r="U574" s="182"/>
    </row>
    <row r="575" spans="2:21" ht="9.75" customHeight="1" x14ac:dyDescent="0.4">
      <c r="C575" s="418"/>
      <c r="D575" s="139" t="s">
        <v>312</v>
      </c>
      <c r="E575" s="139"/>
      <c r="F575" s="138"/>
      <c r="G575" s="138"/>
      <c r="H575" s="138"/>
      <c r="I575" s="138"/>
      <c r="J575" s="138"/>
      <c r="K575" s="138"/>
      <c r="L575" s="138"/>
      <c r="M575" s="138"/>
      <c r="N575" s="138"/>
      <c r="O575" s="139"/>
      <c r="P575" s="138"/>
      <c r="Q575" s="138"/>
      <c r="R575" s="137"/>
      <c r="T575" s="182"/>
      <c r="U575" s="182"/>
    </row>
    <row r="576" spans="2:21" ht="9.75" customHeight="1" x14ac:dyDescent="0.4">
      <c r="C576" s="418"/>
      <c r="D576" s="424" t="s">
        <v>313</v>
      </c>
      <c r="E576" s="424"/>
      <c r="F576" s="425"/>
      <c r="G576" s="425"/>
      <c r="H576" s="425"/>
      <c r="I576" s="425"/>
      <c r="J576" s="425"/>
      <c r="K576" s="425"/>
      <c r="L576" s="425"/>
      <c r="M576" s="425"/>
      <c r="N576" s="425"/>
      <c r="O576" s="424"/>
      <c r="P576" s="425"/>
      <c r="Q576" s="425"/>
      <c r="R576" s="426"/>
      <c r="T576" s="182"/>
      <c r="U576" s="182"/>
    </row>
    <row r="577" spans="2:21" ht="9.75" customHeight="1" x14ac:dyDescent="0.4">
      <c r="B577" s="219" t="s">
        <v>395</v>
      </c>
      <c r="C577" s="427"/>
      <c r="D577" s="428" t="s">
        <v>314</v>
      </c>
      <c r="E577" s="429"/>
      <c r="F577" s="430"/>
      <c r="G577" s="430"/>
      <c r="H577" s="430"/>
      <c r="I577" s="430"/>
      <c r="J577" s="430"/>
      <c r="K577" s="430"/>
      <c r="L577" s="430"/>
      <c r="M577" s="430"/>
      <c r="N577" s="430"/>
      <c r="O577" s="429"/>
      <c r="P577" s="430"/>
      <c r="Q577" s="430"/>
      <c r="R577" s="431"/>
      <c r="T577" s="182"/>
      <c r="U577" s="182"/>
    </row>
    <row r="578" spans="2:21" ht="9.75" customHeight="1" x14ac:dyDescent="0.4">
      <c r="C578" s="418" t="s">
        <v>237</v>
      </c>
      <c r="D578" s="139" t="s">
        <v>300</v>
      </c>
      <c r="E578" s="139"/>
      <c r="F578" s="138"/>
      <c r="G578" s="138"/>
      <c r="H578" s="138"/>
      <c r="I578" s="138"/>
      <c r="J578" s="138"/>
      <c r="K578" s="138"/>
      <c r="L578" s="138"/>
      <c r="M578" s="138"/>
      <c r="N578" s="138"/>
      <c r="O578" s="139"/>
      <c r="P578" s="138"/>
      <c r="Q578" s="138"/>
      <c r="R578" s="137"/>
      <c r="T578" s="182"/>
      <c r="U578" s="182"/>
    </row>
    <row r="579" spans="2:21" ht="9.75" customHeight="1" x14ac:dyDescent="0.4">
      <c r="C579" s="24"/>
      <c r="D579" s="139" t="s">
        <v>301</v>
      </c>
      <c r="E579" s="226"/>
      <c r="F579" s="225"/>
      <c r="G579" s="225"/>
      <c r="H579" s="225"/>
      <c r="I579" s="225"/>
      <c r="J579" s="225"/>
      <c r="K579" s="225"/>
      <c r="L579" s="225"/>
      <c r="M579" s="225"/>
      <c r="N579" s="225"/>
      <c r="O579" s="226"/>
      <c r="P579" s="225"/>
      <c r="Q579" s="225"/>
      <c r="R579" s="421"/>
      <c r="T579" s="182"/>
      <c r="U579" s="182"/>
    </row>
    <row r="580" spans="2:21" ht="9.75" customHeight="1" x14ac:dyDescent="0.4">
      <c r="C580" s="24" t="s">
        <v>528</v>
      </c>
      <c r="D580" s="139" t="s">
        <v>303</v>
      </c>
      <c r="E580" s="139"/>
      <c r="F580" s="138"/>
      <c r="G580" s="138"/>
      <c r="H580" s="138"/>
      <c r="I580" s="138"/>
      <c r="J580" s="138"/>
      <c r="K580" s="138"/>
      <c r="L580" s="138"/>
      <c r="M580" s="138"/>
      <c r="N580" s="138"/>
      <c r="O580" s="139"/>
      <c r="P580" s="138"/>
      <c r="Q580" s="138"/>
      <c r="R580" s="137"/>
      <c r="T580" s="182"/>
      <c r="U580" s="182"/>
    </row>
    <row r="581" spans="2:21" ht="9.75" customHeight="1" x14ac:dyDescent="0.4">
      <c r="C581" s="24" t="s">
        <v>529</v>
      </c>
      <c r="D581" s="139" t="s">
        <v>369</v>
      </c>
      <c r="E581" s="139"/>
      <c r="F581" s="138"/>
      <c r="G581" s="138"/>
      <c r="H581" s="138"/>
      <c r="I581" s="138"/>
      <c r="J581" s="138"/>
      <c r="K581" s="138"/>
      <c r="L581" s="138"/>
      <c r="M581" s="138"/>
      <c r="N581" s="138"/>
      <c r="O581" s="139"/>
      <c r="P581" s="138"/>
      <c r="Q581" s="138"/>
      <c r="R581" s="137"/>
      <c r="T581" s="182"/>
      <c r="U581" s="182"/>
    </row>
    <row r="582" spans="2:21" ht="9.75" customHeight="1" x14ac:dyDescent="0.4">
      <c r="C582" s="418" t="s">
        <v>262</v>
      </c>
      <c r="D582" s="139" t="s">
        <v>369</v>
      </c>
      <c r="E582" s="139"/>
      <c r="F582" s="138"/>
      <c r="G582" s="138"/>
      <c r="H582" s="138"/>
      <c r="I582" s="138"/>
      <c r="J582" s="138"/>
      <c r="K582" s="138"/>
      <c r="L582" s="138"/>
      <c r="M582" s="138"/>
      <c r="N582" s="138"/>
      <c r="O582" s="139"/>
      <c r="P582" s="138"/>
      <c r="Q582" s="138"/>
      <c r="R582" s="137"/>
      <c r="T582" s="182"/>
      <c r="U582" s="182"/>
    </row>
    <row r="583" spans="2:21" ht="9.75" customHeight="1" x14ac:dyDescent="0.4">
      <c r="C583" s="418" t="s">
        <v>530</v>
      </c>
      <c r="D583" s="139" t="s">
        <v>308</v>
      </c>
      <c r="E583" s="139"/>
      <c r="F583" s="138"/>
      <c r="G583" s="138"/>
      <c r="H583" s="138"/>
      <c r="I583" s="138"/>
      <c r="J583" s="138"/>
      <c r="K583" s="138"/>
      <c r="L583" s="138"/>
      <c r="M583" s="138"/>
      <c r="N583" s="138"/>
      <c r="O583" s="139"/>
      <c r="P583" s="138"/>
      <c r="Q583" s="138"/>
      <c r="R583" s="137"/>
      <c r="T583" s="182"/>
      <c r="U583" s="182"/>
    </row>
    <row r="584" spans="2:21" ht="9.75" customHeight="1" x14ac:dyDescent="0.4">
      <c r="C584" s="418" t="s">
        <v>531</v>
      </c>
      <c r="D584" s="139" t="s">
        <v>374</v>
      </c>
      <c r="E584" s="139"/>
      <c r="F584" s="138"/>
      <c r="G584" s="138"/>
      <c r="H584" s="138"/>
      <c r="I584" s="138"/>
      <c r="J584" s="138"/>
      <c r="K584" s="138"/>
      <c r="L584" s="138"/>
      <c r="M584" s="138"/>
      <c r="N584" s="138"/>
      <c r="O584" s="139"/>
      <c r="P584" s="138"/>
      <c r="Q584" s="138"/>
      <c r="R584" s="137"/>
      <c r="T584" s="182"/>
      <c r="U584" s="182"/>
    </row>
    <row r="585" spans="2:21" ht="9.75" customHeight="1" x14ac:dyDescent="0.4">
      <c r="C585" s="418" t="s">
        <v>332</v>
      </c>
      <c r="D585" s="139" t="s">
        <v>374</v>
      </c>
      <c r="E585" s="139"/>
      <c r="F585" s="138"/>
      <c r="G585" s="138"/>
      <c r="H585" s="138"/>
      <c r="I585" s="138"/>
      <c r="J585" s="138"/>
      <c r="K585" s="138"/>
      <c r="L585" s="138"/>
      <c r="M585" s="138"/>
      <c r="N585" s="138"/>
      <c r="O585" s="139"/>
      <c r="P585" s="138"/>
      <c r="Q585" s="138"/>
      <c r="R585" s="137"/>
      <c r="T585" s="182"/>
      <c r="U585" s="182"/>
    </row>
    <row r="586" spans="2:21" ht="9.75" customHeight="1" x14ac:dyDescent="0.4">
      <c r="C586" s="418"/>
      <c r="D586" s="139" t="s">
        <v>374</v>
      </c>
      <c r="E586" s="139"/>
      <c r="F586" s="138"/>
      <c r="G586" s="138"/>
      <c r="H586" s="138"/>
      <c r="I586" s="138"/>
      <c r="J586" s="138"/>
      <c r="K586" s="138"/>
      <c r="L586" s="138"/>
      <c r="M586" s="138"/>
      <c r="N586" s="138"/>
      <c r="O586" s="139"/>
      <c r="P586" s="138"/>
      <c r="Q586" s="138"/>
      <c r="R586" s="137"/>
      <c r="T586" s="182"/>
      <c r="U586" s="182"/>
    </row>
    <row r="587" spans="2:21" ht="9.75" customHeight="1" x14ac:dyDescent="0.4">
      <c r="C587" s="418"/>
      <c r="D587" s="139" t="s">
        <v>374</v>
      </c>
      <c r="E587" s="139"/>
      <c r="F587" s="138"/>
      <c r="G587" s="138"/>
      <c r="H587" s="138"/>
      <c r="I587" s="138"/>
      <c r="J587" s="138"/>
      <c r="K587" s="138"/>
      <c r="L587" s="138"/>
      <c r="M587" s="138"/>
      <c r="N587" s="138"/>
      <c r="O587" s="139"/>
      <c r="P587" s="138"/>
      <c r="Q587" s="138"/>
      <c r="R587" s="137"/>
      <c r="T587" s="182"/>
      <c r="U587" s="182"/>
    </row>
    <row r="588" spans="2:21" ht="9.75" customHeight="1" x14ac:dyDescent="0.4">
      <c r="C588" s="418"/>
      <c r="D588" s="139" t="s">
        <v>374</v>
      </c>
      <c r="E588" s="139"/>
      <c r="F588" s="138"/>
      <c r="G588" s="138"/>
      <c r="H588" s="138"/>
      <c r="I588" s="138"/>
      <c r="J588" s="138"/>
      <c r="K588" s="138"/>
      <c r="L588" s="138"/>
      <c r="M588" s="138"/>
      <c r="N588" s="138"/>
      <c r="O588" s="139"/>
      <c r="P588" s="138"/>
      <c r="Q588" s="138"/>
      <c r="R588" s="137"/>
      <c r="T588" s="182"/>
      <c r="U588" s="182"/>
    </row>
    <row r="589" spans="2:21" ht="9.75" customHeight="1" x14ac:dyDescent="0.4">
      <c r="C589" s="418"/>
      <c r="D589" s="139" t="s">
        <v>374</v>
      </c>
      <c r="E589" s="139"/>
      <c r="F589" s="138"/>
      <c r="G589" s="138"/>
      <c r="H589" s="138"/>
      <c r="I589" s="138"/>
      <c r="J589" s="138"/>
      <c r="K589" s="138"/>
      <c r="L589" s="138"/>
      <c r="M589" s="138"/>
      <c r="N589" s="138"/>
      <c r="O589" s="139"/>
      <c r="P589" s="138"/>
      <c r="Q589" s="138"/>
      <c r="R589" s="137"/>
      <c r="T589" s="182"/>
      <c r="U589" s="182"/>
    </row>
    <row r="590" spans="2:21" ht="9.75" customHeight="1" x14ac:dyDescent="0.4">
      <c r="C590" s="418"/>
      <c r="D590" s="139" t="s">
        <v>310</v>
      </c>
      <c r="E590" s="139"/>
      <c r="F590" s="138"/>
      <c r="G590" s="138"/>
      <c r="H590" s="138"/>
      <c r="I590" s="138"/>
      <c r="J590" s="138"/>
      <c r="K590" s="138"/>
      <c r="L590" s="138"/>
      <c r="M590" s="138"/>
      <c r="N590" s="138"/>
      <c r="O590" s="139"/>
      <c r="P590" s="138"/>
      <c r="Q590" s="138"/>
      <c r="R590" s="137"/>
      <c r="T590" s="182"/>
      <c r="U590" s="182"/>
    </row>
    <row r="591" spans="2:21" ht="9.75" customHeight="1" x14ac:dyDescent="0.4">
      <c r="C591" s="418"/>
      <c r="D591" s="139" t="s">
        <v>311</v>
      </c>
      <c r="E591" s="139"/>
      <c r="F591" s="138"/>
      <c r="G591" s="138"/>
      <c r="H591" s="138"/>
      <c r="I591" s="138"/>
      <c r="J591" s="138"/>
      <c r="K591" s="138"/>
      <c r="L591" s="138"/>
      <c r="M591" s="138"/>
      <c r="N591" s="138"/>
      <c r="O591" s="139"/>
      <c r="P591" s="138"/>
      <c r="Q591" s="138"/>
      <c r="R591" s="137"/>
      <c r="T591" s="182"/>
      <c r="U591" s="182"/>
    </row>
    <row r="592" spans="2:21" ht="9.75" customHeight="1" x14ac:dyDescent="0.4">
      <c r="C592" s="418"/>
      <c r="D592" s="139" t="s">
        <v>312</v>
      </c>
      <c r="E592" s="139"/>
      <c r="F592" s="138"/>
      <c r="G592" s="138"/>
      <c r="H592" s="138"/>
      <c r="I592" s="138"/>
      <c r="J592" s="138"/>
      <c r="K592" s="138"/>
      <c r="L592" s="138"/>
      <c r="M592" s="138"/>
      <c r="N592" s="138"/>
      <c r="O592" s="139"/>
      <c r="P592" s="138"/>
      <c r="Q592" s="138"/>
      <c r="R592" s="137"/>
      <c r="T592" s="182"/>
      <c r="U592" s="182"/>
    </row>
    <row r="593" spans="2:21" ht="9.75" customHeight="1" x14ac:dyDescent="0.4">
      <c r="C593" s="418"/>
      <c r="D593" s="424" t="s">
        <v>313</v>
      </c>
      <c r="E593" s="424"/>
      <c r="F593" s="425"/>
      <c r="G593" s="425"/>
      <c r="H593" s="425"/>
      <c r="I593" s="425"/>
      <c r="J593" s="425"/>
      <c r="K593" s="425"/>
      <c r="L593" s="425"/>
      <c r="M593" s="425"/>
      <c r="N593" s="425"/>
      <c r="O593" s="424"/>
      <c r="P593" s="425"/>
      <c r="Q593" s="425"/>
      <c r="R593" s="426"/>
      <c r="T593" s="182"/>
      <c r="U593" s="182"/>
    </row>
    <row r="594" spans="2:21" ht="9.75" customHeight="1" x14ac:dyDescent="0.4">
      <c r="B594" s="219" t="s">
        <v>395</v>
      </c>
      <c r="C594" s="427"/>
      <c r="D594" s="428" t="s">
        <v>314</v>
      </c>
      <c r="E594" s="429"/>
      <c r="F594" s="430"/>
      <c r="G594" s="430"/>
      <c r="H594" s="430"/>
      <c r="I594" s="430"/>
      <c r="J594" s="430"/>
      <c r="K594" s="430"/>
      <c r="L594" s="430"/>
      <c r="M594" s="430"/>
      <c r="N594" s="430"/>
      <c r="O594" s="429"/>
      <c r="P594" s="430"/>
      <c r="Q594" s="430"/>
      <c r="R594" s="431"/>
      <c r="T594" s="182"/>
      <c r="U594" s="182"/>
    </row>
    <row r="595" spans="2:21" ht="9.75" customHeight="1" x14ac:dyDescent="0.4">
      <c r="C595" s="27" t="s">
        <v>238</v>
      </c>
      <c r="D595" s="60" t="s">
        <v>300</v>
      </c>
      <c r="E595" s="60"/>
      <c r="F595" s="58"/>
      <c r="G595" s="58"/>
      <c r="H595" s="58"/>
      <c r="I595" s="58"/>
      <c r="J595" s="58"/>
      <c r="K595" s="58"/>
      <c r="L595" s="58"/>
      <c r="M595" s="58"/>
      <c r="N595" s="58"/>
      <c r="O595" s="60"/>
      <c r="P595" s="58"/>
      <c r="Q595" s="58"/>
      <c r="R595" s="59"/>
      <c r="T595" s="182"/>
      <c r="U595" s="182"/>
    </row>
    <row r="596" spans="2:21" ht="9.75" customHeight="1" x14ac:dyDescent="0.4">
      <c r="C596" s="17"/>
      <c r="D596" s="60" t="s">
        <v>301</v>
      </c>
      <c r="E596" s="123">
        <v>60</v>
      </c>
      <c r="F596" s="74">
        <v>51</v>
      </c>
      <c r="G596" s="74">
        <v>47</v>
      </c>
      <c r="H596" s="74">
        <v>48</v>
      </c>
      <c r="I596" s="74">
        <v>47</v>
      </c>
      <c r="J596" s="74">
        <v>46</v>
      </c>
      <c r="K596" s="74">
        <v>47</v>
      </c>
      <c r="L596" s="74">
        <v>46</v>
      </c>
      <c r="M596" s="74">
        <v>50</v>
      </c>
      <c r="N596" s="74">
        <v>53</v>
      </c>
      <c r="O596" s="123">
        <v>54</v>
      </c>
      <c r="P596" s="74">
        <f>MIN(F596:O596)</f>
        <v>46</v>
      </c>
      <c r="Q596" s="74">
        <f>E596-P596</f>
        <v>14</v>
      </c>
      <c r="R596" s="75">
        <f>Q596/E596</f>
        <v>0.23333333333333334</v>
      </c>
      <c r="T596" s="182"/>
      <c r="U596" s="182"/>
    </row>
    <row r="597" spans="2:21" ht="9.75" customHeight="1" x14ac:dyDescent="0.4">
      <c r="C597" s="17" t="s">
        <v>262</v>
      </c>
      <c r="D597" s="60" t="s">
        <v>303</v>
      </c>
      <c r="E597" s="60"/>
      <c r="F597" s="58"/>
      <c r="G597" s="58"/>
      <c r="H597" s="58"/>
      <c r="I597" s="58"/>
      <c r="J597" s="58"/>
      <c r="K597" s="58"/>
      <c r="L597" s="58"/>
      <c r="M597" s="58"/>
      <c r="N597" s="58"/>
      <c r="O597" s="60"/>
      <c r="P597" s="58"/>
      <c r="Q597" s="58"/>
      <c r="R597" s="59"/>
      <c r="T597" s="182"/>
      <c r="U597" s="182"/>
    </row>
    <row r="598" spans="2:21" ht="9.75" customHeight="1" x14ac:dyDescent="0.4">
      <c r="C598" s="17" t="s">
        <v>532</v>
      </c>
      <c r="D598" s="60" t="s">
        <v>369</v>
      </c>
      <c r="E598" s="60"/>
      <c r="F598" s="58"/>
      <c r="G598" s="58"/>
      <c r="H598" s="58"/>
      <c r="I598" s="58"/>
      <c r="J598" s="58"/>
      <c r="K598" s="58"/>
      <c r="L598" s="58"/>
      <c r="M598" s="58"/>
      <c r="N598" s="58"/>
      <c r="O598" s="60"/>
      <c r="P598" s="58"/>
      <c r="Q598" s="58"/>
      <c r="R598" s="59"/>
      <c r="T598" s="182"/>
      <c r="U598" s="182"/>
    </row>
    <row r="599" spans="2:21" ht="9.75" customHeight="1" x14ac:dyDescent="0.4">
      <c r="C599" s="27"/>
      <c r="D599" s="60" t="s">
        <v>369</v>
      </c>
      <c r="E599" s="60"/>
      <c r="F599" s="58"/>
      <c r="G599" s="58"/>
      <c r="H599" s="58"/>
      <c r="I599" s="58"/>
      <c r="J599" s="58"/>
      <c r="K599" s="58"/>
      <c r="L599" s="58"/>
      <c r="M599" s="58"/>
      <c r="N599" s="58"/>
      <c r="O599" s="60"/>
      <c r="P599" s="58"/>
      <c r="Q599" s="58"/>
      <c r="R599" s="59"/>
      <c r="T599" s="182"/>
      <c r="U599" s="182"/>
    </row>
    <row r="600" spans="2:21" ht="9.75" customHeight="1" x14ac:dyDescent="0.4">
      <c r="C600" s="27"/>
      <c r="D600" s="60" t="s">
        <v>308</v>
      </c>
      <c r="E600" s="60"/>
      <c r="F600" s="58"/>
      <c r="G600" s="58"/>
      <c r="H600" s="58"/>
      <c r="I600" s="58"/>
      <c r="J600" s="58"/>
      <c r="K600" s="58"/>
      <c r="L600" s="58"/>
      <c r="M600" s="58"/>
      <c r="N600" s="58"/>
      <c r="O600" s="60"/>
      <c r="P600" s="58"/>
      <c r="Q600" s="58"/>
      <c r="R600" s="59"/>
      <c r="T600" s="182"/>
      <c r="U600" s="182"/>
    </row>
    <row r="601" spans="2:21" ht="9.75" customHeight="1" x14ac:dyDescent="0.4">
      <c r="C601" s="27"/>
      <c r="D601" s="60" t="s">
        <v>374</v>
      </c>
      <c r="E601" s="60"/>
      <c r="F601" s="58"/>
      <c r="G601" s="58"/>
      <c r="H601" s="58"/>
      <c r="I601" s="58"/>
      <c r="J601" s="58"/>
      <c r="K601" s="58"/>
      <c r="L601" s="58"/>
      <c r="M601" s="58"/>
      <c r="N601" s="58"/>
      <c r="O601" s="60"/>
      <c r="P601" s="58"/>
      <c r="Q601" s="58"/>
      <c r="R601" s="59"/>
      <c r="T601" s="182"/>
      <c r="U601" s="182"/>
    </row>
    <row r="602" spans="2:21" ht="9.75" customHeight="1" x14ac:dyDescent="0.4">
      <c r="C602" s="27"/>
      <c r="D602" s="60" t="s">
        <v>374</v>
      </c>
      <c r="E602" s="60"/>
      <c r="F602" s="58"/>
      <c r="G602" s="58"/>
      <c r="H602" s="58"/>
      <c r="I602" s="58"/>
      <c r="J602" s="58"/>
      <c r="K602" s="58"/>
      <c r="L602" s="58"/>
      <c r="M602" s="58"/>
      <c r="N602" s="58"/>
      <c r="O602" s="60"/>
      <c r="P602" s="58"/>
      <c r="Q602" s="58"/>
      <c r="R602" s="59"/>
      <c r="T602" s="182"/>
      <c r="U602" s="182"/>
    </row>
    <row r="603" spans="2:21" ht="9.75" customHeight="1" x14ac:dyDescent="0.4">
      <c r="C603" s="27"/>
      <c r="D603" s="60" t="s">
        <v>374</v>
      </c>
      <c r="E603" s="60"/>
      <c r="F603" s="58"/>
      <c r="G603" s="58"/>
      <c r="H603" s="58"/>
      <c r="I603" s="58"/>
      <c r="J603" s="58"/>
      <c r="K603" s="58"/>
      <c r="L603" s="58"/>
      <c r="M603" s="58"/>
      <c r="N603" s="58"/>
      <c r="O603" s="60"/>
      <c r="P603" s="58"/>
      <c r="Q603" s="58"/>
      <c r="R603" s="59"/>
      <c r="T603" s="182"/>
      <c r="U603" s="182"/>
    </row>
    <row r="604" spans="2:21" ht="9.75" customHeight="1" x14ac:dyDescent="0.4">
      <c r="C604" s="27"/>
      <c r="D604" s="60" t="s">
        <v>374</v>
      </c>
      <c r="E604" s="60"/>
      <c r="F604" s="58"/>
      <c r="G604" s="58"/>
      <c r="H604" s="58"/>
      <c r="I604" s="58"/>
      <c r="J604" s="58"/>
      <c r="K604" s="58"/>
      <c r="L604" s="58"/>
      <c r="M604" s="58"/>
      <c r="N604" s="58"/>
      <c r="O604" s="60"/>
      <c r="P604" s="58"/>
      <c r="Q604" s="58"/>
      <c r="R604" s="59"/>
      <c r="T604" s="182"/>
      <c r="U604" s="182"/>
    </row>
    <row r="605" spans="2:21" ht="9.75" customHeight="1" x14ac:dyDescent="0.4">
      <c r="C605" s="27"/>
      <c r="D605" s="60" t="s">
        <v>374</v>
      </c>
      <c r="E605" s="60"/>
      <c r="F605" s="58"/>
      <c r="G605" s="58"/>
      <c r="H605" s="58"/>
      <c r="I605" s="58"/>
      <c r="J605" s="58"/>
      <c r="K605" s="58"/>
      <c r="L605" s="58"/>
      <c r="M605" s="58"/>
      <c r="N605" s="58"/>
      <c r="O605" s="60"/>
      <c r="P605" s="58"/>
      <c r="Q605" s="58"/>
      <c r="R605" s="59"/>
      <c r="T605" s="182"/>
      <c r="U605" s="182"/>
    </row>
    <row r="606" spans="2:21" ht="9.75" customHeight="1" x14ac:dyDescent="0.4">
      <c r="C606" s="27"/>
      <c r="D606" s="60" t="s">
        <v>374</v>
      </c>
      <c r="E606" s="60"/>
      <c r="F606" s="58"/>
      <c r="G606" s="58"/>
      <c r="H606" s="58"/>
      <c r="I606" s="58"/>
      <c r="J606" s="58"/>
      <c r="K606" s="58"/>
      <c r="L606" s="58"/>
      <c r="M606" s="58"/>
      <c r="N606" s="58"/>
      <c r="O606" s="60"/>
      <c r="P606" s="58"/>
      <c r="Q606" s="58"/>
      <c r="R606" s="59"/>
      <c r="T606" s="182"/>
      <c r="U606" s="182"/>
    </row>
    <row r="607" spans="2:21" ht="9.75" customHeight="1" x14ac:dyDescent="0.4">
      <c r="C607" s="27"/>
      <c r="D607" s="60" t="s">
        <v>310</v>
      </c>
      <c r="E607" s="60"/>
      <c r="F607" s="58"/>
      <c r="G607" s="58"/>
      <c r="H607" s="58"/>
      <c r="I607" s="58"/>
      <c r="J607" s="58"/>
      <c r="K607" s="58"/>
      <c r="L607" s="58"/>
      <c r="M607" s="58"/>
      <c r="N607" s="58"/>
      <c r="O607" s="60"/>
      <c r="P607" s="58"/>
      <c r="Q607" s="58"/>
      <c r="R607" s="59"/>
      <c r="T607" s="182"/>
      <c r="U607" s="182"/>
    </row>
    <row r="608" spans="2:21" ht="9.75" customHeight="1" x14ac:dyDescent="0.4">
      <c r="C608" s="27"/>
      <c r="D608" s="60" t="s">
        <v>311</v>
      </c>
      <c r="E608" s="60"/>
      <c r="F608" s="58"/>
      <c r="G608" s="58"/>
      <c r="H608" s="58"/>
      <c r="I608" s="58"/>
      <c r="J608" s="58"/>
      <c r="K608" s="58"/>
      <c r="L608" s="58"/>
      <c r="M608" s="58"/>
      <c r="N608" s="58"/>
      <c r="O608" s="60"/>
      <c r="P608" s="58"/>
      <c r="Q608" s="58"/>
      <c r="R608" s="59"/>
      <c r="T608" s="182"/>
      <c r="U608" s="182"/>
    </row>
    <row r="609" spans="2:21" ht="9.75" customHeight="1" x14ac:dyDescent="0.4">
      <c r="C609" s="27"/>
      <c r="D609" s="60" t="s">
        <v>312</v>
      </c>
      <c r="E609" s="60"/>
      <c r="F609" s="58"/>
      <c r="G609" s="58"/>
      <c r="H609" s="58"/>
      <c r="I609" s="58"/>
      <c r="J609" s="58"/>
      <c r="K609" s="58"/>
      <c r="L609" s="58"/>
      <c r="M609" s="58"/>
      <c r="N609" s="58"/>
      <c r="O609" s="60"/>
      <c r="P609" s="58"/>
      <c r="Q609" s="58"/>
      <c r="R609" s="59"/>
      <c r="T609" s="182"/>
      <c r="U609" s="182"/>
    </row>
    <row r="610" spans="2:21" ht="9.75" customHeight="1" x14ac:dyDescent="0.4">
      <c r="C610" s="27"/>
      <c r="D610" s="64" t="s">
        <v>313</v>
      </c>
      <c r="E610" s="64"/>
      <c r="F610" s="63"/>
      <c r="G610" s="63"/>
      <c r="H610" s="63"/>
      <c r="I610" s="63"/>
      <c r="J610" s="63"/>
      <c r="K610" s="63"/>
      <c r="L610" s="63"/>
      <c r="M610" s="63"/>
      <c r="N610" s="63"/>
      <c r="O610" s="64"/>
      <c r="P610" s="63"/>
      <c r="Q610" s="63"/>
      <c r="R610" s="407"/>
      <c r="T610" s="182"/>
      <c r="U610" s="182"/>
    </row>
    <row r="611" spans="2:21" ht="9.75" customHeight="1" x14ac:dyDescent="0.4">
      <c r="B611" s="219" t="s">
        <v>395</v>
      </c>
      <c r="C611" s="125"/>
      <c r="D611" s="69" t="s">
        <v>314</v>
      </c>
      <c r="E611" s="408">
        <f t="shared" ref="E611:O611" si="74">SUM(E595:E610)</f>
        <v>60</v>
      </c>
      <c r="F611" s="409">
        <f t="shared" si="74"/>
        <v>51</v>
      </c>
      <c r="G611" s="409">
        <f t="shared" si="74"/>
        <v>47</v>
      </c>
      <c r="H611" s="409">
        <f t="shared" si="74"/>
        <v>48</v>
      </c>
      <c r="I611" s="409">
        <f t="shared" si="74"/>
        <v>47</v>
      </c>
      <c r="J611" s="409">
        <f t="shared" si="74"/>
        <v>46</v>
      </c>
      <c r="K611" s="409">
        <f t="shared" si="74"/>
        <v>47</v>
      </c>
      <c r="L611" s="409">
        <f t="shared" si="74"/>
        <v>46</v>
      </c>
      <c r="M611" s="409">
        <f t="shared" si="74"/>
        <v>50</v>
      </c>
      <c r="N611" s="409">
        <f t="shared" si="74"/>
        <v>53</v>
      </c>
      <c r="O611" s="408">
        <f t="shared" si="74"/>
        <v>54</v>
      </c>
      <c r="P611" s="409">
        <f>MIN(F611:O611)</f>
        <v>46</v>
      </c>
      <c r="Q611" s="409">
        <f>E611-P611</f>
        <v>14</v>
      </c>
      <c r="R611" s="410">
        <f>Q611/E611</f>
        <v>0.23333333333333334</v>
      </c>
      <c r="T611" s="182"/>
      <c r="U611" s="182"/>
    </row>
    <row r="612" spans="2:21" ht="9.75" customHeight="1" x14ac:dyDescent="0.4">
      <c r="C612" s="435" t="s">
        <v>202</v>
      </c>
      <c r="D612" s="436" t="s">
        <v>300</v>
      </c>
      <c r="E612" s="412"/>
      <c r="F612" s="411"/>
      <c r="G612" s="411"/>
      <c r="H612" s="411"/>
      <c r="I612" s="411"/>
      <c r="J612" s="411"/>
      <c r="K612" s="411"/>
      <c r="L612" s="411"/>
      <c r="M612" s="411"/>
      <c r="N612" s="411"/>
      <c r="O612" s="412"/>
      <c r="P612" s="294"/>
      <c r="Q612" s="294"/>
      <c r="R612" s="290"/>
      <c r="T612" s="182"/>
      <c r="U612" s="182"/>
    </row>
    <row r="613" spans="2:21" ht="9.75" customHeight="1" x14ac:dyDescent="0.4">
      <c r="C613" s="220"/>
      <c r="D613" s="436" t="s">
        <v>301</v>
      </c>
      <c r="E613" s="412"/>
      <c r="F613" s="411"/>
      <c r="G613" s="411"/>
      <c r="H613" s="411"/>
      <c r="I613" s="411"/>
      <c r="J613" s="411"/>
      <c r="K613" s="411"/>
      <c r="L613" s="411"/>
      <c r="M613" s="411"/>
      <c r="N613" s="411"/>
      <c r="O613" s="412"/>
      <c r="P613" s="294"/>
      <c r="Q613" s="294"/>
      <c r="R613" s="290"/>
      <c r="T613" s="182"/>
      <c r="U613" s="182"/>
    </row>
    <row r="614" spans="2:21" ht="9.75" customHeight="1" x14ac:dyDescent="0.4">
      <c r="C614" s="220"/>
      <c r="D614" s="436" t="s">
        <v>303</v>
      </c>
      <c r="E614" s="412"/>
      <c r="F614" s="411"/>
      <c r="G614" s="411"/>
      <c r="H614" s="411"/>
      <c r="I614" s="411"/>
      <c r="J614" s="411"/>
      <c r="K614" s="411"/>
      <c r="L614" s="411"/>
      <c r="M614" s="411"/>
      <c r="N614" s="411"/>
      <c r="O614" s="412"/>
      <c r="P614" s="294"/>
      <c r="Q614" s="294"/>
      <c r="R614" s="290"/>
      <c r="T614" s="182"/>
      <c r="U614" s="182"/>
    </row>
    <row r="615" spans="2:21" ht="9.75" customHeight="1" x14ac:dyDescent="0.4">
      <c r="C615" s="220"/>
      <c r="D615" s="436" t="s">
        <v>409</v>
      </c>
      <c r="E615" s="328"/>
      <c r="F615" s="327"/>
      <c r="G615" s="327"/>
      <c r="H615" s="327"/>
      <c r="I615" s="327"/>
      <c r="J615" s="327"/>
      <c r="K615" s="327"/>
      <c r="L615" s="327"/>
      <c r="M615" s="327"/>
      <c r="N615" s="327"/>
      <c r="O615" s="328"/>
      <c r="P615" s="292"/>
      <c r="Q615" s="292"/>
      <c r="R615" s="437"/>
      <c r="T615" s="182"/>
      <c r="U615" s="182"/>
    </row>
    <row r="616" spans="2:21" ht="9.75" customHeight="1" x14ac:dyDescent="0.4">
      <c r="C616" s="220"/>
      <c r="D616" s="436" t="s">
        <v>369</v>
      </c>
      <c r="E616" s="412"/>
      <c r="F616" s="411"/>
      <c r="G616" s="411"/>
      <c r="H616" s="411"/>
      <c r="I616" s="411"/>
      <c r="J616" s="411"/>
      <c r="K616" s="411"/>
      <c r="L616" s="411"/>
      <c r="M616" s="411"/>
      <c r="N616" s="411"/>
      <c r="O616" s="412"/>
      <c r="P616" s="292"/>
      <c r="Q616" s="292"/>
      <c r="R616" s="437"/>
      <c r="T616" s="182"/>
      <c r="U616" s="182"/>
    </row>
    <row r="617" spans="2:21" ht="9.75" customHeight="1" x14ac:dyDescent="0.4">
      <c r="C617" s="435"/>
      <c r="D617" s="436" t="s">
        <v>308</v>
      </c>
      <c r="E617" s="412"/>
      <c r="F617" s="411"/>
      <c r="G617" s="411"/>
      <c r="H617" s="411"/>
      <c r="I617" s="411"/>
      <c r="J617" s="411"/>
      <c r="K617" s="411"/>
      <c r="L617" s="411"/>
      <c r="M617" s="411"/>
      <c r="N617" s="411"/>
      <c r="O617" s="412"/>
      <c r="P617" s="294"/>
      <c r="Q617" s="294"/>
      <c r="R617" s="290"/>
      <c r="T617" s="182"/>
      <c r="U617" s="182"/>
    </row>
    <row r="618" spans="2:21" ht="9.75" customHeight="1" x14ac:dyDescent="0.4">
      <c r="C618" s="435"/>
      <c r="D618" s="436" t="s">
        <v>533</v>
      </c>
      <c r="E618" s="412">
        <v>25</v>
      </c>
      <c r="F618" s="411">
        <v>11</v>
      </c>
      <c r="G618" s="411">
        <v>9</v>
      </c>
      <c r="H618" s="411">
        <v>8</v>
      </c>
      <c r="I618" s="411">
        <v>10</v>
      </c>
      <c r="J618" s="411">
        <v>8</v>
      </c>
      <c r="K618" s="411">
        <v>9</v>
      </c>
      <c r="L618" s="411">
        <v>7</v>
      </c>
      <c r="M618" s="411">
        <v>9</v>
      </c>
      <c r="N618" s="411">
        <v>13</v>
      </c>
      <c r="O618" s="412">
        <v>17</v>
      </c>
      <c r="P618" s="292">
        <f t="shared" ref="P618:P624" si="75">MIN(F618:O618)</f>
        <v>7</v>
      </c>
      <c r="Q618" s="292">
        <f t="shared" ref="Q618:Q624" si="76">E618-P618</f>
        <v>18</v>
      </c>
      <c r="R618" s="437">
        <f t="shared" ref="R618:R624" si="77">Q618/E618</f>
        <v>0.72</v>
      </c>
      <c r="T618" s="182"/>
      <c r="U618" s="182"/>
    </row>
    <row r="619" spans="2:21" ht="9.75" customHeight="1" x14ac:dyDescent="0.4">
      <c r="C619" s="435"/>
      <c r="D619" s="436" t="s">
        <v>534</v>
      </c>
      <c r="E619" s="412">
        <v>9</v>
      </c>
      <c r="F619" s="411">
        <v>8</v>
      </c>
      <c r="G619" s="411">
        <v>8</v>
      </c>
      <c r="H619" s="411">
        <v>6</v>
      </c>
      <c r="I619" s="411">
        <v>8</v>
      </c>
      <c r="J619" s="411">
        <v>8</v>
      </c>
      <c r="K619" s="411">
        <v>7</v>
      </c>
      <c r="L619" s="411">
        <v>6</v>
      </c>
      <c r="M619" s="411">
        <v>6</v>
      </c>
      <c r="N619" s="411">
        <v>8</v>
      </c>
      <c r="O619" s="412">
        <v>7</v>
      </c>
      <c r="P619" s="292">
        <f t="shared" si="75"/>
        <v>6</v>
      </c>
      <c r="Q619" s="292">
        <f t="shared" si="76"/>
        <v>3</v>
      </c>
      <c r="R619" s="437">
        <f t="shared" si="77"/>
        <v>0.33333333333333331</v>
      </c>
      <c r="T619" s="182"/>
      <c r="U619" s="182"/>
    </row>
    <row r="620" spans="2:21" ht="9.75" customHeight="1" x14ac:dyDescent="0.4">
      <c r="C620" s="435"/>
      <c r="D620" s="436" t="s">
        <v>535</v>
      </c>
      <c r="E620" s="412">
        <v>45</v>
      </c>
      <c r="F620" s="411">
        <v>37</v>
      </c>
      <c r="G620" s="411">
        <v>34</v>
      </c>
      <c r="H620" s="411">
        <v>34</v>
      </c>
      <c r="I620" s="411">
        <v>33</v>
      </c>
      <c r="J620" s="411">
        <v>33</v>
      </c>
      <c r="K620" s="411">
        <v>34</v>
      </c>
      <c r="L620" s="411">
        <v>34</v>
      </c>
      <c r="M620" s="411">
        <v>33</v>
      </c>
      <c r="N620" s="411">
        <v>36</v>
      </c>
      <c r="O620" s="412">
        <v>37</v>
      </c>
      <c r="P620" s="292">
        <f t="shared" si="75"/>
        <v>33</v>
      </c>
      <c r="Q620" s="292">
        <f t="shared" si="76"/>
        <v>12</v>
      </c>
      <c r="R620" s="437">
        <f t="shared" si="77"/>
        <v>0.26666666666666666</v>
      </c>
      <c r="T620" s="182"/>
      <c r="U620" s="182"/>
    </row>
    <row r="621" spans="2:21" ht="9.75" customHeight="1" x14ac:dyDescent="0.4">
      <c r="C621" s="435"/>
      <c r="D621" s="436" t="s">
        <v>536</v>
      </c>
      <c r="E621" s="412">
        <v>12</v>
      </c>
      <c r="F621" s="411">
        <v>8</v>
      </c>
      <c r="G621" s="411">
        <v>8</v>
      </c>
      <c r="H621" s="411">
        <v>6</v>
      </c>
      <c r="I621" s="411">
        <v>8</v>
      </c>
      <c r="J621" s="411">
        <v>11</v>
      </c>
      <c r="K621" s="411">
        <v>11</v>
      </c>
      <c r="L621" s="411">
        <v>11</v>
      </c>
      <c r="M621" s="411">
        <v>8</v>
      </c>
      <c r="N621" s="411">
        <v>7</v>
      </c>
      <c r="O621" s="412">
        <v>5</v>
      </c>
      <c r="P621" s="292">
        <f t="shared" si="75"/>
        <v>5</v>
      </c>
      <c r="Q621" s="292">
        <f t="shared" si="76"/>
        <v>7</v>
      </c>
      <c r="R621" s="437">
        <f t="shared" si="77"/>
        <v>0.58333333333333337</v>
      </c>
      <c r="T621" s="182"/>
      <c r="U621" s="182"/>
    </row>
    <row r="622" spans="2:21" ht="9.75" customHeight="1" x14ac:dyDescent="0.4">
      <c r="C622" s="435"/>
      <c r="D622" s="436" t="s">
        <v>537</v>
      </c>
      <c r="E622" s="328">
        <v>3</v>
      </c>
      <c r="F622" s="327">
        <v>2</v>
      </c>
      <c r="G622" s="327">
        <v>2</v>
      </c>
      <c r="H622" s="327">
        <v>3</v>
      </c>
      <c r="I622" s="327">
        <v>2</v>
      </c>
      <c r="J622" s="327">
        <v>1</v>
      </c>
      <c r="K622" s="327">
        <v>1</v>
      </c>
      <c r="L622" s="327">
        <v>3</v>
      </c>
      <c r="M622" s="327">
        <v>2</v>
      </c>
      <c r="N622" s="327">
        <v>2</v>
      </c>
      <c r="O622" s="328">
        <v>2</v>
      </c>
      <c r="P622" s="292">
        <f t="shared" si="75"/>
        <v>1</v>
      </c>
      <c r="Q622" s="292">
        <f t="shared" si="76"/>
        <v>2</v>
      </c>
      <c r="R622" s="437">
        <f t="shared" si="77"/>
        <v>0.66666666666666663</v>
      </c>
      <c r="T622" s="182"/>
      <c r="U622" s="182"/>
    </row>
    <row r="623" spans="2:21" ht="9.75" customHeight="1" x14ac:dyDescent="0.4">
      <c r="C623" s="435"/>
      <c r="D623" s="436" t="s">
        <v>422</v>
      </c>
      <c r="E623" s="412">
        <v>1</v>
      </c>
      <c r="F623" s="411">
        <v>1</v>
      </c>
      <c r="G623" s="411">
        <v>1</v>
      </c>
      <c r="H623" s="411">
        <v>1</v>
      </c>
      <c r="I623" s="411">
        <v>1</v>
      </c>
      <c r="J623" s="411">
        <v>1</v>
      </c>
      <c r="K623" s="411">
        <v>1</v>
      </c>
      <c r="L623" s="411">
        <v>0</v>
      </c>
      <c r="M623" s="411">
        <v>1</v>
      </c>
      <c r="N623" s="411">
        <v>1</v>
      </c>
      <c r="O623" s="412">
        <v>1</v>
      </c>
      <c r="P623" s="292">
        <f t="shared" si="75"/>
        <v>0</v>
      </c>
      <c r="Q623" s="292">
        <f t="shared" si="76"/>
        <v>1</v>
      </c>
      <c r="R623" s="437">
        <f t="shared" si="77"/>
        <v>1</v>
      </c>
      <c r="T623" s="182"/>
      <c r="U623" s="182"/>
    </row>
    <row r="624" spans="2:21" ht="9.75" customHeight="1" x14ac:dyDescent="0.4">
      <c r="C624" s="435"/>
      <c r="D624" s="436" t="s">
        <v>310</v>
      </c>
      <c r="E624" s="328">
        <v>11</v>
      </c>
      <c r="F624" s="327">
        <v>2</v>
      </c>
      <c r="G624" s="327">
        <v>0</v>
      </c>
      <c r="H624" s="327">
        <v>0</v>
      </c>
      <c r="I624" s="327">
        <v>0</v>
      </c>
      <c r="J624" s="327">
        <v>1</v>
      </c>
      <c r="K624" s="327">
        <v>2</v>
      </c>
      <c r="L624" s="327">
        <v>0</v>
      </c>
      <c r="M624" s="327">
        <v>0</v>
      </c>
      <c r="N624" s="327">
        <v>3</v>
      </c>
      <c r="O624" s="328">
        <v>6</v>
      </c>
      <c r="P624" s="292">
        <f t="shared" si="75"/>
        <v>0</v>
      </c>
      <c r="Q624" s="292">
        <f t="shared" si="76"/>
        <v>11</v>
      </c>
      <c r="R624" s="437">
        <f t="shared" si="77"/>
        <v>1</v>
      </c>
      <c r="T624" s="182"/>
      <c r="U624" s="182"/>
    </row>
    <row r="625" spans="1:21" ht="9.75" customHeight="1" x14ac:dyDescent="0.4">
      <c r="C625" s="435"/>
      <c r="D625" s="436" t="s">
        <v>311</v>
      </c>
      <c r="E625" s="412"/>
      <c r="F625" s="411"/>
      <c r="G625" s="411"/>
      <c r="H625" s="411"/>
      <c r="I625" s="411"/>
      <c r="J625" s="411"/>
      <c r="K625" s="411"/>
      <c r="L625" s="411"/>
      <c r="M625" s="411"/>
      <c r="N625" s="411"/>
      <c r="O625" s="412"/>
      <c r="P625" s="294"/>
      <c r="Q625" s="294"/>
      <c r="R625" s="290"/>
      <c r="T625" s="182"/>
      <c r="U625" s="182"/>
    </row>
    <row r="626" spans="1:21" ht="9.75" customHeight="1" x14ac:dyDescent="0.4">
      <c r="C626" s="435"/>
      <c r="D626" s="436" t="s">
        <v>312</v>
      </c>
      <c r="E626" s="412"/>
      <c r="F626" s="411"/>
      <c r="G626" s="411"/>
      <c r="H626" s="411"/>
      <c r="I626" s="411"/>
      <c r="J626" s="411"/>
      <c r="K626" s="411"/>
      <c r="L626" s="411"/>
      <c r="M626" s="411"/>
      <c r="N626" s="411"/>
      <c r="O626" s="412"/>
      <c r="P626" s="294"/>
      <c r="Q626" s="294"/>
      <c r="R626" s="290"/>
      <c r="T626" s="182"/>
      <c r="U626" s="182"/>
    </row>
    <row r="627" spans="1:21" ht="9.75" customHeight="1" x14ac:dyDescent="0.4">
      <c r="C627" s="435"/>
      <c r="D627" s="438" t="s">
        <v>313</v>
      </c>
      <c r="E627" s="414"/>
      <c r="F627" s="413"/>
      <c r="G627" s="413"/>
      <c r="H627" s="413"/>
      <c r="I627" s="413"/>
      <c r="J627" s="413"/>
      <c r="K627" s="413"/>
      <c r="L627" s="413"/>
      <c r="M627" s="413"/>
      <c r="N627" s="413"/>
      <c r="O627" s="414"/>
      <c r="P627" s="439"/>
      <c r="Q627" s="439"/>
      <c r="R627" s="440"/>
      <c r="T627" s="182"/>
      <c r="U627" s="182"/>
    </row>
    <row r="628" spans="1:21" ht="9.75" customHeight="1" x14ac:dyDescent="0.4">
      <c r="C628" s="441"/>
      <c r="D628" s="69" t="s">
        <v>314</v>
      </c>
      <c r="E628" s="408">
        <f t="shared" ref="E628:O628" si="78">SUM(E612:E627)</f>
        <v>106</v>
      </c>
      <c r="F628" s="409">
        <f t="shared" si="78"/>
        <v>69</v>
      </c>
      <c r="G628" s="409">
        <f t="shared" si="78"/>
        <v>62</v>
      </c>
      <c r="H628" s="409">
        <f t="shared" si="78"/>
        <v>58</v>
      </c>
      <c r="I628" s="409">
        <f t="shared" si="78"/>
        <v>62</v>
      </c>
      <c r="J628" s="409">
        <f t="shared" si="78"/>
        <v>63</v>
      </c>
      <c r="K628" s="409">
        <f t="shared" si="78"/>
        <v>65</v>
      </c>
      <c r="L628" s="409">
        <f t="shared" si="78"/>
        <v>61</v>
      </c>
      <c r="M628" s="409">
        <f t="shared" si="78"/>
        <v>59</v>
      </c>
      <c r="N628" s="409">
        <f t="shared" si="78"/>
        <v>70</v>
      </c>
      <c r="O628" s="408">
        <f t="shared" si="78"/>
        <v>75</v>
      </c>
      <c r="P628" s="409">
        <f>MIN(F628:O628)</f>
        <v>58</v>
      </c>
      <c r="Q628" s="409">
        <f>E628-P628</f>
        <v>48</v>
      </c>
      <c r="R628" s="410">
        <f>Q628/E628</f>
        <v>0.45283018867924529</v>
      </c>
      <c r="T628" s="182"/>
      <c r="U628" s="182"/>
    </row>
    <row r="629" spans="1:21" ht="15.75" customHeight="1" x14ac:dyDescent="0.4">
      <c r="T629" s="182"/>
      <c r="U629" s="182"/>
    </row>
    <row r="630" spans="1:21" ht="15.75" customHeight="1" x14ac:dyDescent="0.4">
      <c r="T630" s="182"/>
      <c r="U630" s="182"/>
    </row>
    <row r="631" spans="1:21" ht="15" customHeight="1" x14ac:dyDescent="0.4">
      <c r="C631" s="40"/>
      <c r="D631" s="219" t="s">
        <v>277</v>
      </c>
      <c r="T631" s="182"/>
      <c r="U631" s="182"/>
    </row>
    <row r="632" spans="1:21" ht="15" customHeight="1" x14ac:dyDescent="0.4">
      <c r="A632" s="219" t="s">
        <v>391</v>
      </c>
      <c r="T632" s="182"/>
      <c r="U632" s="182"/>
    </row>
    <row r="633" spans="1:21" ht="15" customHeight="1" x14ac:dyDescent="0.35">
      <c r="A633" s="219" t="s">
        <v>392</v>
      </c>
      <c r="C633" s="215" t="s">
        <v>390</v>
      </c>
      <c r="D633" s="215" t="s">
        <v>329</v>
      </c>
      <c r="E633" s="216" t="s">
        <v>320</v>
      </c>
      <c r="T633" s="182"/>
      <c r="U633" s="182"/>
    </row>
    <row r="634" spans="1:21" ht="15" customHeight="1" x14ac:dyDescent="0.4">
      <c r="C634" s="218">
        <f>SUM(E8:E628)/2</f>
        <v>1933</v>
      </c>
      <c r="D634" s="218">
        <f>'By Neighborhood'!C233</f>
        <v>1933</v>
      </c>
      <c r="E634" s="218">
        <f>'By Area'!C57</f>
        <v>1933</v>
      </c>
      <c r="T634" s="182"/>
      <c r="U634" s="182"/>
    </row>
    <row r="635" spans="1:21" ht="15.75" customHeight="1" x14ac:dyDescent="0.4">
      <c r="T635" s="182"/>
      <c r="U635" s="182"/>
    </row>
    <row r="636" spans="1:21" ht="15.75" customHeight="1" x14ac:dyDescent="0.4">
      <c r="T636" s="182"/>
      <c r="U636" s="182"/>
    </row>
    <row r="637" spans="1:21" ht="15.75" customHeight="1" x14ac:dyDescent="0.4">
      <c r="T637" s="182"/>
      <c r="U637" s="182"/>
    </row>
    <row r="638" spans="1:21" ht="15" customHeight="1" x14ac:dyDescent="0.4">
      <c r="G638" s="1"/>
      <c r="T638" s="182"/>
      <c r="U638" s="182"/>
    </row>
    <row r="639" spans="1:21" ht="15.75" customHeight="1" x14ac:dyDescent="0.4">
      <c r="T639" s="182"/>
      <c r="U639" s="182"/>
    </row>
    <row r="640" spans="1:21" ht="15.75" customHeight="1" x14ac:dyDescent="0.4">
      <c r="T640" s="182"/>
      <c r="U640" s="182"/>
    </row>
    <row r="641" spans="20:21" ht="15.75" customHeight="1" x14ac:dyDescent="0.4">
      <c r="T641" s="182"/>
      <c r="U641" s="182"/>
    </row>
    <row r="642" spans="20:21" ht="15.75" customHeight="1" x14ac:dyDescent="0.4">
      <c r="T642" s="182"/>
      <c r="U642" s="182"/>
    </row>
    <row r="643" spans="20:21" ht="15.75" customHeight="1" x14ac:dyDescent="0.4">
      <c r="T643" s="182"/>
      <c r="U643" s="182"/>
    </row>
    <row r="644" spans="20:21" ht="15.75" customHeight="1" x14ac:dyDescent="0.4">
      <c r="T644" s="182"/>
      <c r="U644" s="182"/>
    </row>
    <row r="645" spans="20:21" ht="15.75" customHeight="1" x14ac:dyDescent="0.4">
      <c r="T645" s="182"/>
      <c r="U645" s="182"/>
    </row>
    <row r="646" spans="20:21" ht="15.75" customHeight="1" x14ac:dyDescent="0.4">
      <c r="T646" s="182"/>
      <c r="U646" s="182"/>
    </row>
    <row r="647" spans="20:21" ht="15.75" customHeight="1" x14ac:dyDescent="0.4">
      <c r="T647" s="182"/>
      <c r="U647" s="182"/>
    </row>
    <row r="648" spans="20:21" ht="15.75" customHeight="1" x14ac:dyDescent="0.4">
      <c r="T648" s="182"/>
      <c r="U648" s="182"/>
    </row>
    <row r="649" spans="20:21" ht="15.75" customHeight="1" x14ac:dyDescent="0.4">
      <c r="T649" s="182"/>
      <c r="U649" s="182"/>
    </row>
    <row r="650" spans="20:21" ht="15.75" customHeight="1" x14ac:dyDescent="0.4">
      <c r="T650" s="182"/>
      <c r="U650" s="182"/>
    </row>
    <row r="651" spans="20:21" ht="15.75" customHeight="1" x14ac:dyDescent="0.4">
      <c r="T651" s="182"/>
      <c r="U651" s="182"/>
    </row>
    <row r="652" spans="20:21" ht="15.75" customHeight="1" x14ac:dyDescent="0.4">
      <c r="T652" s="182"/>
      <c r="U652" s="182"/>
    </row>
    <row r="653" spans="20:21" ht="15.75" customHeight="1" x14ac:dyDescent="0.4">
      <c r="T653" s="182"/>
      <c r="U653" s="182"/>
    </row>
    <row r="654" spans="20:21" ht="15.75" customHeight="1" x14ac:dyDescent="0.4">
      <c r="T654" s="182"/>
      <c r="U654" s="182"/>
    </row>
    <row r="655" spans="20:21" ht="15.75" customHeight="1" x14ac:dyDescent="0.4">
      <c r="T655" s="182"/>
      <c r="U655" s="182"/>
    </row>
    <row r="656" spans="20:21" ht="15.75" customHeight="1" x14ac:dyDescent="0.4">
      <c r="T656" s="182"/>
      <c r="U656" s="182"/>
    </row>
    <row r="657" spans="20:21" ht="15.75" customHeight="1" x14ac:dyDescent="0.4">
      <c r="T657" s="182"/>
      <c r="U657" s="182"/>
    </row>
    <row r="658" spans="20:21" ht="15.75" customHeight="1" x14ac:dyDescent="0.4">
      <c r="T658" s="182"/>
      <c r="U658" s="182"/>
    </row>
    <row r="659" spans="20:21" ht="15.75" customHeight="1" x14ac:dyDescent="0.4">
      <c r="T659" s="182"/>
      <c r="U659" s="182"/>
    </row>
    <row r="660" spans="20:21" ht="15.75" customHeight="1" x14ac:dyDescent="0.4">
      <c r="T660" s="182"/>
      <c r="U660" s="182"/>
    </row>
    <row r="661" spans="20:21" ht="15.75" customHeight="1" x14ac:dyDescent="0.4">
      <c r="T661" s="182"/>
      <c r="U661" s="182"/>
    </row>
    <row r="662" spans="20:21" ht="15.75" customHeight="1" x14ac:dyDescent="0.4">
      <c r="T662" s="182"/>
      <c r="U662" s="182"/>
    </row>
    <row r="663" spans="20:21" ht="15.75" customHeight="1" x14ac:dyDescent="0.4">
      <c r="T663" s="182"/>
      <c r="U663" s="182"/>
    </row>
    <row r="664" spans="20:21" ht="15.75" customHeight="1" x14ac:dyDescent="0.4">
      <c r="T664" s="182"/>
      <c r="U664" s="182"/>
    </row>
    <row r="665" spans="20:21" ht="15.75" customHeight="1" x14ac:dyDescent="0.4">
      <c r="T665" s="182"/>
      <c r="U665" s="182"/>
    </row>
    <row r="666" spans="20:21" ht="15.75" customHeight="1" x14ac:dyDescent="0.4">
      <c r="T666" s="182"/>
      <c r="U666" s="182"/>
    </row>
    <row r="667" spans="20:21" ht="15.75" customHeight="1" x14ac:dyDescent="0.4">
      <c r="T667" s="182"/>
      <c r="U667" s="182"/>
    </row>
    <row r="668" spans="20:21" ht="15.75" customHeight="1" x14ac:dyDescent="0.4">
      <c r="T668" s="182"/>
      <c r="U668" s="182"/>
    </row>
    <row r="669" spans="20:21" ht="15.75" customHeight="1" x14ac:dyDescent="0.4">
      <c r="T669" s="182"/>
      <c r="U669" s="182"/>
    </row>
    <row r="670" spans="20:21" ht="15.75" customHeight="1" x14ac:dyDescent="0.4">
      <c r="T670" s="182"/>
      <c r="U670" s="182"/>
    </row>
    <row r="671" spans="20:21" ht="15.75" customHeight="1" x14ac:dyDescent="0.4">
      <c r="T671" s="182"/>
      <c r="U671" s="182"/>
    </row>
    <row r="672" spans="20:21" ht="15.75" customHeight="1" x14ac:dyDescent="0.4">
      <c r="T672" s="182"/>
      <c r="U672" s="182"/>
    </row>
    <row r="673" spans="20:21" ht="15.75" customHeight="1" x14ac:dyDescent="0.4">
      <c r="T673" s="182"/>
      <c r="U673" s="182"/>
    </row>
    <row r="674" spans="20:21" ht="15.75" customHeight="1" x14ac:dyDescent="0.4">
      <c r="T674" s="182"/>
      <c r="U674" s="182"/>
    </row>
    <row r="675" spans="20:21" ht="15.75" customHeight="1" x14ac:dyDescent="0.4">
      <c r="T675" s="182"/>
      <c r="U675" s="182"/>
    </row>
    <row r="676" spans="20:21" ht="15.75" customHeight="1" x14ac:dyDescent="0.4">
      <c r="T676" s="182"/>
      <c r="U676" s="182"/>
    </row>
    <row r="677" spans="20:21" ht="15.75" customHeight="1" x14ac:dyDescent="0.4">
      <c r="T677" s="182"/>
      <c r="U677" s="182"/>
    </row>
    <row r="678" spans="20:21" ht="15.75" customHeight="1" x14ac:dyDescent="0.4">
      <c r="T678" s="182"/>
      <c r="U678" s="182"/>
    </row>
    <row r="679" spans="20:21" ht="15.75" customHeight="1" x14ac:dyDescent="0.4">
      <c r="T679" s="182"/>
      <c r="U679" s="182"/>
    </row>
    <row r="680" spans="20:21" ht="15.75" customHeight="1" x14ac:dyDescent="0.4">
      <c r="T680" s="182"/>
      <c r="U680" s="182"/>
    </row>
    <row r="681" spans="20:21" ht="15.75" customHeight="1" x14ac:dyDescent="0.4">
      <c r="T681" s="182"/>
      <c r="U681" s="182"/>
    </row>
    <row r="682" spans="20:21" ht="15.75" customHeight="1" x14ac:dyDescent="0.4">
      <c r="T682" s="182"/>
      <c r="U682" s="182"/>
    </row>
    <row r="683" spans="20:21" ht="15.75" customHeight="1" x14ac:dyDescent="0.4">
      <c r="T683" s="182"/>
      <c r="U683" s="182"/>
    </row>
    <row r="684" spans="20:21" ht="15.75" customHeight="1" x14ac:dyDescent="0.4">
      <c r="T684" s="182"/>
      <c r="U684" s="182"/>
    </row>
    <row r="685" spans="20:21" ht="15.75" customHeight="1" x14ac:dyDescent="0.4">
      <c r="T685" s="182"/>
      <c r="U685" s="182"/>
    </row>
    <row r="686" spans="20:21" ht="15.75" customHeight="1" x14ac:dyDescent="0.4">
      <c r="T686" s="182"/>
      <c r="U686" s="182"/>
    </row>
    <row r="687" spans="20:21" ht="15.75" customHeight="1" x14ac:dyDescent="0.4">
      <c r="T687" s="182"/>
      <c r="U687" s="182"/>
    </row>
    <row r="688" spans="20:21" ht="15.75" customHeight="1" x14ac:dyDescent="0.4">
      <c r="T688" s="182"/>
      <c r="U688" s="182"/>
    </row>
    <row r="689" spans="20:21" ht="15.75" customHeight="1" x14ac:dyDescent="0.4">
      <c r="T689" s="182"/>
      <c r="U689" s="182"/>
    </row>
    <row r="690" spans="20:21" ht="15.75" customHeight="1" x14ac:dyDescent="0.4">
      <c r="T690" s="182"/>
      <c r="U690" s="182"/>
    </row>
    <row r="691" spans="20:21" ht="15.75" customHeight="1" x14ac:dyDescent="0.4">
      <c r="T691" s="182"/>
      <c r="U691" s="182"/>
    </row>
    <row r="692" spans="20:21" ht="15.75" customHeight="1" x14ac:dyDescent="0.4">
      <c r="T692" s="182"/>
      <c r="U692" s="182"/>
    </row>
    <row r="693" spans="20:21" ht="15.75" customHeight="1" x14ac:dyDescent="0.4">
      <c r="T693" s="182"/>
      <c r="U693" s="182"/>
    </row>
    <row r="694" spans="20:21" ht="15.75" customHeight="1" x14ac:dyDescent="0.4">
      <c r="T694" s="182"/>
      <c r="U694" s="182"/>
    </row>
    <row r="695" spans="20:21" ht="15.75" customHeight="1" x14ac:dyDescent="0.4">
      <c r="T695" s="182"/>
      <c r="U695" s="182"/>
    </row>
    <row r="696" spans="20:21" ht="15.75" customHeight="1" x14ac:dyDescent="0.4">
      <c r="T696" s="182"/>
      <c r="U696" s="182"/>
    </row>
    <row r="697" spans="20:21" ht="15.75" customHeight="1" x14ac:dyDescent="0.4">
      <c r="T697" s="182"/>
      <c r="U697" s="182"/>
    </row>
    <row r="698" spans="20:21" ht="15.75" customHeight="1" x14ac:dyDescent="0.4">
      <c r="T698" s="182"/>
      <c r="U698" s="182"/>
    </row>
    <row r="699" spans="20:21" ht="15.75" customHeight="1" x14ac:dyDescent="0.4">
      <c r="T699" s="182"/>
      <c r="U699" s="182"/>
    </row>
    <row r="700" spans="20:21" ht="15.75" customHeight="1" x14ac:dyDescent="0.4">
      <c r="T700" s="182"/>
      <c r="U700" s="182"/>
    </row>
    <row r="701" spans="20:21" ht="15.75" customHeight="1" x14ac:dyDescent="0.4">
      <c r="T701" s="182"/>
      <c r="U701" s="182"/>
    </row>
    <row r="702" spans="20:21" ht="15.75" customHeight="1" x14ac:dyDescent="0.4">
      <c r="T702" s="182"/>
      <c r="U702" s="182"/>
    </row>
    <row r="703" spans="20:21" ht="15.75" customHeight="1" x14ac:dyDescent="0.4">
      <c r="T703" s="182"/>
      <c r="U703" s="182"/>
    </row>
    <row r="704" spans="20:21" ht="15.75" customHeight="1" x14ac:dyDescent="0.4">
      <c r="T704" s="182"/>
      <c r="U704" s="182"/>
    </row>
    <row r="705" spans="20:21" ht="15.75" customHeight="1" x14ac:dyDescent="0.4">
      <c r="T705" s="182"/>
      <c r="U705" s="182"/>
    </row>
    <row r="706" spans="20:21" ht="15.75" customHeight="1" x14ac:dyDescent="0.4">
      <c r="T706" s="182"/>
      <c r="U706" s="182"/>
    </row>
    <row r="707" spans="20:21" ht="15.75" customHeight="1" x14ac:dyDescent="0.4">
      <c r="T707" s="182"/>
      <c r="U707" s="182"/>
    </row>
    <row r="708" spans="20:21" ht="15.75" customHeight="1" x14ac:dyDescent="0.4">
      <c r="T708" s="182"/>
      <c r="U708" s="182"/>
    </row>
    <row r="709" spans="20:21" ht="15.75" customHeight="1" x14ac:dyDescent="0.4">
      <c r="T709" s="182"/>
      <c r="U709" s="182"/>
    </row>
    <row r="710" spans="20:21" ht="15.75" customHeight="1" x14ac:dyDescent="0.4">
      <c r="T710" s="182"/>
      <c r="U710" s="182"/>
    </row>
    <row r="711" spans="20:21" ht="15.75" customHeight="1" x14ac:dyDescent="0.4">
      <c r="T711" s="182"/>
      <c r="U711" s="182"/>
    </row>
    <row r="712" spans="20:21" ht="15.75" customHeight="1" x14ac:dyDescent="0.4">
      <c r="T712" s="182"/>
      <c r="U712" s="182"/>
    </row>
    <row r="713" spans="20:21" ht="15.75" customHeight="1" x14ac:dyDescent="0.4">
      <c r="T713" s="182"/>
      <c r="U713" s="182"/>
    </row>
    <row r="714" spans="20:21" ht="15.75" customHeight="1" x14ac:dyDescent="0.4">
      <c r="T714" s="182"/>
      <c r="U714" s="182"/>
    </row>
    <row r="715" spans="20:21" ht="15.75" customHeight="1" x14ac:dyDescent="0.4">
      <c r="T715" s="182"/>
      <c r="U715" s="182"/>
    </row>
    <row r="716" spans="20:21" ht="15.75" customHeight="1" x14ac:dyDescent="0.4">
      <c r="T716" s="182"/>
      <c r="U716" s="182"/>
    </row>
    <row r="717" spans="20:21" ht="15.75" customHeight="1" x14ac:dyDescent="0.4">
      <c r="T717" s="182"/>
      <c r="U717" s="182"/>
    </row>
    <row r="718" spans="20:21" ht="15.75" customHeight="1" x14ac:dyDescent="0.4">
      <c r="T718" s="182"/>
      <c r="U718" s="182"/>
    </row>
    <row r="719" spans="20:21" ht="15.75" customHeight="1" x14ac:dyDescent="0.4">
      <c r="T719" s="182"/>
      <c r="U719" s="182"/>
    </row>
    <row r="720" spans="20:21" ht="15.75" customHeight="1" x14ac:dyDescent="0.4">
      <c r="T720" s="182"/>
      <c r="U720" s="182"/>
    </row>
    <row r="721" spans="20:21" ht="15.75" customHeight="1" x14ac:dyDescent="0.4">
      <c r="T721" s="182"/>
      <c r="U721" s="182"/>
    </row>
    <row r="722" spans="20:21" ht="15.75" customHeight="1" x14ac:dyDescent="0.4">
      <c r="T722" s="182"/>
      <c r="U722" s="182"/>
    </row>
    <row r="723" spans="20:21" ht="15.75" customHeight="1" x14ac:dyDescent="0.4">
      <c r="T723" s="182"/>
      <c r="U723" s="182"/>
    </row>
    <row r="724" spans="20:21" ht="15.75" customHeight="1" x14ac:dyDescent="0.4">
      <c r="T724" s="182"/>
      <c r="U724" s="182"/>
    </row>
    <row r="725" spans="20:21" ht="15.75" customHeight="1" x14ac:dyDescent="0.4">
      <c r="T725" s="182"/>
      <c r="U725" s="182"/>
    </row>
    <row r="726" spans="20:21" ht="15.75" customHeight="1" x14ac:dyDescent="0.4">
      <c r="T726" s="182"/>
      <c r="U726" s="182"/>
    </row>
    <row r="727" spans="20:21" ht="15.75" customHeight="1" x14ac:dyDescent="0.4">
      <c r="T727" s="182"/>
      <c r="U727" s="182"/>
    </row>
    <row r="728" spans="20:21" ht="15.75" customHeight="1" x14ac:dyDescent="0.4">
      <c r="T728" s="182"/>
      <c r="U728" s="182"/>
    </row>
    <row r="729" spans="20:21" ht="15.75" customHeight="1" x14ac:dyDescent="0.4">
      <c r="T729" s="182"/>
      <c r="U729" s="182"/>
    </row>
    <row r="730" spans="20:21" ht="15.75" customHeight="1" x14ac:dyDescent="0.4">
      <c r="T730" s="182"/>
      <c r="U730" s="182"/>
    </row>
    <row r="731" spans="20:21" ht="15.75" customHeight="1" x14ac:dyDescent="0.4">
      <c r="T731" s="182"/>
      <c r="U731" s="182"/>
    </row>
    <row r="732" spans="20:21" ht="15.75" customHeight="1" x14ac:dyDescent="0.4">
      <c r="T732" s="182"/>
      <c r="U732" s="182"/>
    </row>
    <row r="733" spans="20:21" ht="15.75" customHeight="1" x14ac:dyDescent="0.4">
      <c r="T733" s="182"/>
      <c r="U733" s="182"/>
    </row>
    <row r="734" spans="20:21" ht="15.75" customHeight="1" x14ac:dyDescent="0.4">
      <c r="T734" s="182"/>
      <c r="U734" s="182"/>
    </row>
    <row r="735" spans="20:21" ht="15.75" customHeight="1" x14ac:dyDescent="0.4">
      <c r="T735" s="182"/>
      <c r="U735" s="182"/>
    </row>
    <row r="736" spans="20:21" ht="15.75" customHeight="1" x14ac:dyDescent="0.4">
      <c r="T736" s="182"/>
      <c r="U736" s="182"/>
    </row>
    <row r="737" spans="20:21" ht="15.75" customHeight="1" x14ac:dyDescent="0.4">
      <c r="T737" s="182"/>
      <c r="U737" s="182"/>
    </row>
    <row r="738" spans="20:21" ht="15.75" customHeight="1" x14ac:dyDescent="0.4">
      <c r="T738" s="182"/>
      <c r="U738" s="182"/>
    </row>
    <row r="739" spans="20:21" ht="15.75" customHeight="1" x14ac:dyDescent="0.4">
      <c r="T739" s="182"/>
      <c r="U739" s="182"/>
    </row>
    <row r="740" spans="20:21" ht="15.75" customHeight="1" x14ac:dyDescent="0.4">
      <c r="T740" s="182"/>
      <c r="U740" s="182"/>
    </row>
    <row r="741" spans="20:21" ht="15.75" customHeight="1" x14ac:dyDescent="0.4">
      <c r="T741" s="182"/>
      <c r="U741" s="182"/>
    </row>
    <row r="742" spans="20:21" ht="15.75" customHeight="1" x14ac:dyDescent="0.4">
      <c r="T742" s="182"/>
      <c r="U742" s="182"/>
    </row>
    <row r="743" spans="20:21" ht="15.75" customHeight="1" x14ac:dyDescent="0.4">
      <c r="T743" s="182"/>
      <c r="U743" s="182"/>
    </row>
    <row r="744" spans="20:21" ht="15.75" customHeight="1" x14ac:dyDescent="0.4">
      <c r="T744" s="182"/>
      <c r="U744" s="182"/>
    </row>
    <row r="745" spans="20:21" ht="15.75" customHeight="1" x14ac:dyDescent="0.4">
      <c r="T745" s="182"/>
      <c r="U745" s="182"/>
    </row>
    <row r="746" spans="20:21" ht="15.75" customHeight="1" x14ac:dyDescent="0.4">
      <c r="T746" s="182"/>
      <c r="U746" s="182"/>
    </row>
    <row r="747" spans="20:21" ht="15.75" customHeight="1" x14ac:dyDescent="0.4">
      <c r="T747" s="182"/>
      <c r="U747" s="182"/>
    </row>
    <row r="748" spans="20:21" ht="15.75" customHeight="1" x14ac:dyDescent="0.4">
      <c r="T748" s="182"/>
      <c r="U748" s="182"/>
    </row>
    <row r="749" spans="20:21" ht="15.75" customHeight="1" x14ac:dyDescent="0.4">
      <c r="T749" s="182"/>
      <c r="U749" s="182"/>
    </row>
    <row r="750" spans="20:21" ht="15.75" customHeight="1" x14ac:dyDescent="0.4">
      <c r="T750" s="182"/>
      <c r="U750" s="182"/>
    </row>
    <row r="751" spans="20:21" ht="15.75" customHeight="1" x14ac:dyDescent="0.4">
      <c r="T751" s="182"/>
      <c r="U751" s="182"/>
    </row>
    <row r="752" spans="20:21" ht="15.75" customHeight="1" x14ac:dyDescent="0.4">
      <c r="T752" s="182"/>
      <c r="U752" s="182"/>
    </row>
    <row r="753" spans="20:21" ht="15.75" customHeight="1" x14ac:dyDescent="0.4">
      <c r="T753" s="182"/>
      <c r="U753" s="182"/>
    </row>
    <row r="754" spans="20:21" ht="15.75" customHeight="1" x14ac:dyDescent="0.4">
      <c r="T754" s="182"/>
      <c r="U754" s="182"/>
    </row>
    <row r="755" spans="20:21" ht="15.75" customHeight="1" x14ac:dyDescent="0.4">
      <c r="T755" s="182"/>
      <c r="U755" s="182"/>
    </row>
    <row r="756" spans="20:21" ht="15.75" customHeight="1" x14ac:dyDescent="0.4">
      <c r="T756" s="182"/>
      <c r="U756" s="182"/>
    </row>
    <row r="757" spans="20:21" ht="15.75" customHeight="1" x14ac:dyDescent="0.4">
      <c r="T757" s="182"/>
      <c r="U757" s="182"/>
    </row>
    <row r="758" spans="20:21" ht="15.75" customHeight="1" x14ac:dyDescent="0.4">
      <c r="T758" s="182"/>
      <c r="U758" s="182"/>
    </row>
    <row r="759" spans="20:21" ht="15.75" customHeight="1" x14ac:dyDescent="0.4">
      <c r="T759" s="182"/>
      <c r="U759" s="182"/>
    </row>
    <row r="760" spans="20:21" ht="15.75" customHeight="1" x14ac:dyDescent="0.4">
      <c r="T760" s="182"/>
      <c r="U760" s="182"/>
    </row>
    <row r="761" spans="20:21" ht="15.75" customHeight="1" x14ac:dyDescent="0.4">
      <c r="T761" s="182"/>
      <c r="U761" s="182"/>
    </row>
    <row r="762" spans="20:21" ht="15.75" customHeight="1" x14ac:dyDescent="0.4">
      <c r="T762" s="182"/>
      <c r="U762" s="182"/>
    </row>
    <row r="763" spans="20:21" ht="15.75" customHeight="1" x14ac:dyDescent="0.4">
      <c r="T763" s="182"/>
      <c r="U763" s="182"/>
    </row>
    <row r="764" spans="20:21" ht="15.75" customHeight="1" x14ac:dyDescent="0.4">
      <c r="T764" s="182"/>
      <c r="U764" s="182"/>
    </row>
    <row r="765" spans="20:21" ht="15.75" customHeight="1" x14ac:dyDescent="0.4">
      <c r="T765" s="182"/>
      <c r="U765" s="182"/>
    </row>
    <row r="766" spans="20:21" ht="15.75" customHeight="1" x14ac:dyDescent="0.4">
      <c r="T766" s="182"/>
      <c r="U766" s="182"/>
    </row>
    <row r="767" spans="20:21" ht="15.75" customHeight="1" x14ac:dyDescent="0.4">
      <c r="T767" s="182"/>
      <c r="U767" s="182"/>
    </row>
    <row r="768" spans="20:21" ht="15.75" customHeight="1" x14ac:dyDescent="0.4">
      <c r="T768" s="182"/>
      <c r="U768" s="182"/>
    </row>
    <row r="769" spans="20:21" ht="15.75" customHeight="1" x14ac:dyDescent="0.4">
      <c r="T769" s="182"/>
      <c r="U769" s="182"/>
    </row>
    <row r="770" spans="20:21" ht="15.75" customHeight="1" x14ac:dyDescent="0.4">
      <c r="T770" s="182"/>
      <c r="U770" s="182"/>
    </row>
    <row r="771" spans="20:21" ht="15.75" customHeight="1" x14ac:dyDescent="0.4">
      <c r="T771" s="182"/>
      <c r="U771" s="182"/>
    </row>
    <row r="772" spans="20:21" ht="15.75" customHeight="1" x14ac:dyDescent="0.4">
      <c r="T772" s="182"/>
      <c r="U772" s="182"/>
    </row>
    <row r="773" spans="20:21" ht="15.75" customHeight="1" x14ac:dyDescent="0.4">
      <c r="T773" s="182"/>
      <c r="U773" s="182"/>
    </row>
    <row r="774" spans="20:21" ht="15.75" customHeight="1" x14ac:dyDescent="0.4">
      <c r="T774" s="182"/>
      <c r="U774" s="182"/>
    </row>
    <row r="775" spans="20:21" ht="15.75" customHeight="1" x14ac:dyDescent="0.4">
      <c r="T775" s="182"/>
      <c r="U775" s="182"/>
    </row>
    <row r="776" spans="20:21" ht="15.75" customHeight="1" x14ac:dyDescent="0.4">
      <c r="T776" s="182"/>
      <c r="U776" s="182"/>
    </row>
    <row r="777" spans="20:21" ht="15.75" customHeight="1" x14ac:dyDescent="0.4">
      <c r="T777" s="182"/>
      <c r="U777" s="182"/>
    </row>
    <row r="778" spans="20:21" ht="15.75" customHeight="1" x14ac:dyDescent="0.4">
      <c r="T778" s="182"/>
      <c r="U778" s="182"/>
    </row>
    <row r="779" spans="20:21" ht="15.75" customHeight="1" x14ac:dyDescent="0.4">
      <c r="T779" s="182"/>
      <c r="U779" s="182"/>
    </row>
    <row r="780" spans="20:21" ht="15.75" customHeight="1" x14ac:dyDescent="0.4">
      <c r="T780" s="182"/>
      <c r="U780" s="182"/>
    </row>
    <row r="781" spans="20:21" ht="15.75" customHeight="1" x14ac:dyDescent="0.4">
      <c r="T781" s="182"/>
      <c r="U781" s="182"/>
    </row>
    <row r="782" spans="20:21" ht="15.75" customHeight="1" x14ac:dyDescent="0.4">
      <c r="T782" s="182"/>
      <c r="U782" s="182"/>
    </row>
    <row r="783" spans="20:21" ht="15.75" customHeight="1" x14ac:dyDescent="0.4">
      <c r="T783" s="182"/>
      <c r="U783" s="182"/>
    </row>
    <row r="784" spans="20:21" ht="15.75" customHeight="1" x14ac:dyDescent="0.4">
      <c r="T784" s="182"/>
      <c r="U784" s="182"/>
    </row>
    <row r="785" spans="20:21" ht="15.75" customHeight="1" x14ac:dyDescent="0.4">
      <c r="T785" s="182"/>
      <c r="U785" s="182"/>
    </row>
    <row r="786" spans="20:21" ht="15.75" customHeight="1" x14ac:dyDescent="0.4">
      <c r="T786" s="182"/>
      <c r="U786" s="182"/>
    </row>
    <row r="787" spans="20:21" ht="15.75" customHeight="1" x14ac:dyDescent="0.4">
      <c r="T787" s="182"/>
      <c r="U787" s="182"/>
    </row>
    <row r="788" spans="20:21" ht="15.75" customHeight="1" x14ac:dyDescent="0.4">
      <c r="T788" s="182"/>
      <c r="U788" s="182"/>
    </row>
    <row r="789" spans="20:21" ht="15.75" customHeight="1" x14ac:dyDescent="0.4">
      <c r="T789" s="182"/>
      <c r="U789" s="182"/>
    </row>
    <row r="790" spans="20:21" ht="15.75" customHeight="1" x14ac:dyDescent="0.4">
      <c r="T790" s="182"/>
      <c r="U790" s="182"/>
    </row>
    <row r="791" spans="20:21" ht="15.75" customHeight="1" x14ac:dyDescent="0.4">
      <c r="T791" s="182"/>
      <c r="U791" s="182"/>
    </row>
    <row r="792" spans="20:21" ht="15.75" customHeight="1" x14ac:dyDescent="0.4">
      <c r="T792" s="182"/>
      <c r="U792" s="182"/>
    </row>
    <row r="793" spans="20:21" ht="15.75" customHeight="1" x14ac:dyDescent="0.4">
      <c r="T793" s="182"/>
      <c r="U793" s="182"/>
    </row>
    <row r="794" spans="20:21" ht="15.75" customHeight="1" x14ac:dyDescent="0.4">
      <c r="T794" s="182"/>
      <c r="U794" s="182"/>
    </row>
    <row r="795" spans="20:21" ht="15.75" customHeight="1" x14ac:dyDescent="0.4">
      <c r="T795" s="182"/>
      <c r="U795" s="182"/>
    </row>
    <row r="796" spans="20:21" ht="15.75" customHeight="1" x14ac:dyDescent="0.4">
      <c r="T796" s="182"/>
      <c r="U796" s="182"/>
    </row>
    <row r="797" spans="20:21" ht="15.75" customHeight="1" x14ac:dyDescent="0.4">
      <c r="T797" s="182"/>
      <c r="U797" s="182"/>
    </row>
    <row r="798" spans="20:21" ht="15.75" customHeight="1" x14ac:dyDescent="0.4">
      <c r="T798" s="182"/>
      <c r="U798" s="182"/>
    </row>
    <row r="799" spans="20:21" ht="15.75" customHeight="1" x14ac:dyDescent="0.4">
      <c r="T799" s="182"/>
      <c r="U799" s="182"/>
    </row>
    <row r="800" spans="20:21" ht="15.75" customHeight="1" x14ac:dyDescent="0.4">
      <c r="T800" s="182"/>
      <c r="U800" s="182"/>
    </row>
    <row r="801" spans="20:21" ht="15.75" customHeight="1" x14ac:dyDescent="0.4">
      <c r="T801" s="182"/>
      <c r="U801" s="182"/>
    </row>
    <row r="802" spans="20:21" ht="15.75" customHeight="1" x14ac:dyDescent="0.4">
      <c r="T802" s="182"/>
      <c r="U802" s="182"/>
    </row>
    <row r="803" spans="20:21" ht="15.75" customHeight="1" x14ac:dyDescent="0.4">
      <c r="T803" s="182"/>
      <c r="U803" s="182"/>
    </row>
    <row r="804" spans="20:21" ht="15.75" customHeight="1" x14ac:dyDescent="0.4">
      <c r="T804" s="182"/>
      <c r="U804" s="182"/>
    </row>
    <row r="805" spans="20:21" ht="15.75" customHeight="1" x14ac:dyDescent="0.4">
      <c r="T805" s="182"/>
      <c r="U805" s="182"/>
    </row>
    <row r="806" spans="20:21" ht="15.75" customHeight="1" x14ac:dyDescent="0.4">
      <c r="T806" s="182"/>
      <c r="U806" s="182"/>
    </row>
    <row r="807" spans="20:21" ht="15.75" customHeight="1" x14ac:dyDescent="0.4">
      <c r="T807" s="182"/>
      <c r="U807" s="182"/>
    </row>
    <row r="808" spans="20:21" ht="15.75" customHeight="1" x14ac:dyDescent="0.4">
      <c r="T808" s="182"/>
      <c r="U808" s="182"/>
    </row>
    <row r="809" spans="20:21" ht="15.75" customHeight="1" x14ac:dyDescent="0.4">
      <c r="T809" s="182"/>
      <c r="U809" s="182"/>
    </row>
    <row r="810" spans="20:21" ht="15.75" customHeight="1" x14ac:dyDescent="0.4">
      <c r="T810" s="182"/>
      <c r="U810" s="182"/>
    </row>
    <row r="811" spans="20:21" ht="15.75" customHeight="1" x14ac:dyDescent="0.4">
      <c r="T811" s="182"/>
      <c r="U811" s="182"/>
    </row>
    <row r="812" spans="20:21" ht="15.75" customHeight="1" x14ac:dyDescent="0.4">
      <c r="T812" s="182"/>
      <c r="U812" s="182"/>
    </row>
    <row r="813" spans="20:21" ht="15.75" customHeight="1" x14ac:dyDescent="0.4">
      <c r="T813" s="182"/>
      <c r="U813" s="182"/>
    </row>
    <row r="814" spans="20:21" ht="15.75" customHeight="1" x14ac:dyDescent="0.4">
      <c r="T814" s="182"/>
      <c r="U814" s="182"/>
    </row>
    <row r="815" spans="20:21" ht="15.75" customHeight="1" x14ac:dyDescent="0.4">
      <c r="T815" s="182"/>
      <c r="U815" s="182"/>
    </row>
    <row r="816" spans="20:21" ht="15.75" customHeight="1" x14ac:dyDescent="0.4">
      <c r="T816" s="182"/>
      <c r="U816" s="182"/>
    </row>
    <row r="817" spans="20:21" ht="15.75" customHeight="1" x14ac:dyDescent="0.4">
      <c r="T817" s="182"/>
      <c r="U817" s="182"/>
    </row>
    <row r="818" spans="20:21" ht="15.75" customHeight="1" x14ac:dyDescent="0.4">
      <c r="T818" s="182"/>
      <c r="U818" s="182"/>
    </row>
    <row r="819" spans="20:21" ht="15.75" customHeight="1" x14ac:dyDescent="0.4">
      <c r="T819" s="182"/>
      <c r="U819" s="182"/>
    </row>
    <row r="820" spans="20:21" ht="15.75" customHeight="1" x14ac:dyDescent="0.4">
      <c r="T820" s="182"/>
      <c r="U820" s="182"/>
    </row>
    <row r="821" spans="20:21" ht="15.75" customHeight="1" x14ac:dyDescent="0.4">
      <c r="T821" s="182"/>
      <c r="U821" s="182"/>
    </row>
    <row r="822" spans="20:21" ht="15.75" customHeight="1" x14ac:dyDescent="0.4">
      <c r="T822" s="182"/>
      <c r="U822" s="182"/>
    </row>
    <row r="823" spans="20:21" ht="15.75" customHeight="1" x14ac:dyDescent="0.4">
      <c r="T823" s="182"/>
      <c r="U823" s="182"/>
    </row>
    <row r="824" spans="20:21" ht="15.75" customHeight="1" x14ac:dyDescent="0.4">
      <c r="T824" s="182"/>
      <c r="U824" s="182"/>
    </row>
    <row r="825" spans="20:21" ht="15.75" customHeight="1" x14ac:dyDescent="0.4">
      <c r="T825" s="182"/>
      <c r="U825" s="182"/>
    </row>
    <row r="826" spans="20:21" ht="15.75" customHeight="1" x14ac:dyDescent="0.4">
      <c r="T826" s="182"/>
      <c r="U826" s="182"/>
    </row>
    <row r="827" spans="20:21" ht="15.75" customHeight="1" x14ac:dyDescent="0.4">
      <c r="T827" s="182"/>
      <c r="U827" s="182"/>
    </row>
    <row r="828" spans="20:21" ht="15.75" customHeight="1" x14ac:dyDescent="0.4">
      <c r="T828" s="182"/>
      <c r="U828" s="182"/>
    </row>
    <row r="829" spans="20:21" ht="15.75" customHeight="1" x14ac:dyDescent="0.4">
      <c r="T829" s="182"/>
      <c r="U829" s="182"/>
    </row>
    <row r="830" spans="20:21" ht="15.75" customHeight="1" x14ac:dyDescent="0.4">
      <c r="T830" s="182"/>
      <c r="U830" s="182"/>
    </row>
    <row r="831" spans="20:21" ht="15.75" customHeight="1" x14ac:dyDescent="0.4">
      <c r="T831" s="182"/>
      <c r="U831" s="182"/>
    </row>
    <row r="832" spans="20:21" ht="15.75" customHeight="1" x14ac:dyDescent="0.4">
      <c r="T832" s="182"/>
      <c r="U832" s="182"/>
    </row>
    <row r="833" spans="20:21" ht="15.75" customHeight="1" x14ac:dyDescent="0.4">
      <c r="T833" s="182"/>
      <c r="U833" s="182"/>
    </row>
    <row r="834" spans="20:21" ht="15.75" customHeight="1" x14ac:dyDescent="0.4">
      <c r="T834" s="182"/>
      <c r="U834" s="182"/>
    </row>
    <row r="835" spans="20:21" ht="15.75" customHeight="1" x14ac:dyDescent="0.4">
      <c r="T835" s="182"/>
      <c r="U835" s="182"/>
    </row>
    <row r="836" spans="20:21" ht="15.75" customHeight="1" x14ac:dyDescent="0.4">
      <c r="T836" s="182"/>
      <c r="U836" s="182"/>
    </row>
    <row r="837" spans="20:21" ht="15.75" customHeight="1" x14ac:dyDescent="0.4">
      <c r="T837" s="182"/>
      <c r="U837" s="182"/>
    </row>
    <row r="838" spans="20:21" ht="15.75" customHeight="1" x14ac:dyDescent="0.4">
      <c r="T838" s="182"/>
      <c r="U838" s="182"/>
    </row>
    <row r="839" spans="20:21" ht="15.75" customHeight="1" x14ac:dyDescent="0.4">
      <c r="T839" s="182"/>
      <c r="U839" s="182"/>
    </row>
    <row r="840" spans="20:21" ht="15.75" customHeight="1" x14ac:dyDescent="0.4">
      <c r="T840" s="182"/>
      <c r="U840" s="182"/>
    </row>
    <row r="841" spans="20:21" ht="15.75" customHeight="1" x14ac:dyDescent="0.4">
      <c r="T841" s="182"/>
      <c r="U841" s="182"/>
    </row>
    <row r="842" spans="20:21" ht="15.75" customHeight="1" x14ac:dyDescent="0.4">
      <c r="T842" s="182"/>
      <c r="U842" s="182"/>
    </row>
    <row r="843" spans="20:21" ht="15.75" customHeight="1" x14ac:dyDescent="0.4">
      <c r="T843" s="182"/>
      <c r="U843" s="182"/>
    </row>
    <row r="844" spans="20:21" ht="15.75" customHeight="1" x14ac:dyDescent="0.4">
      <c r="T844" s="182"/>
      <c r="U844" s="182"/>
    </row>
    <row r="845" spans="20:21" ht="15.75" customHeight="1" x14ac:dyDescent="0.4">
      <c r="T845" s="182"/>
      <c r="U845" s="182"/>
    </row>
    <row r="846" spans="20:21" ht="15.75" customHeight="1" x14ac:dyDescent="0.4">
      <c r="T846" s="182"/>
      <c r="U846" s="182"/>
    </row>
    <row r="847" spans="20:21" ht="15.75" customHeight="1" x14ac:dyDescent="0.4">
      <c r="T847" s="182"/>
      <c r="U847" s="182"/>
    </row>
    <row r="848" spans="20:21" ht="15.75" customHeight="1" x14ac:dyDescent="0.4">
      <c r="T848" s="182"/>
      <c r="U848" s="182"/>
    </row>
    <row r="849" spans="20:21" ht="15.75" customHeight="1" x14ac:dyDescent="0.4">
      <c r="T849" s="182"/>
      <c r="U849" s="182"/>
    </row>
    <row r="850" spans="20:21" ht="15.75" customHeight="1" x14ac:dyDescent="0.4">
      <c r="T850" s="182"/>
      <c r="U850" s="182"/>
    </row>
    <row r="851" spans="20:21" ht="15.75" customHeight="1" x14ac:dyDescent="0.4">
      <c r="T851" s="182"/>
      <c r="U851" s="182"/>
    </row>
    <row r="852" spans="20:21" ht="15.75" customHeight="1" x14ac:dyDescent="0.4">
      <c r="T852" s="182"/>
      <c r="U852" s="182"/>
    </row>
    <row r="853" spans="20:21" ht="15.75" customHeight="1" x14ac:dyDescent="0.4">
      <c r="T853" s="182"/>
      <c r="U853" s="182"/>
    </row>
    <row r="854" spans="20:21" ht="15.75" customHeight="1" x14ac:dyDescent="0.4">
      <c r="T854" s="182"/>
      <c r="U854" s="182"/>
    </row>
    <row r="855" spans="20:21" ht="15.75" customHeight="1" x14ac:dyDescent="0.4">
      <c r="T855" s="182"/>
      <c r="U855" s="182"/>
    </row>
    <row r="856" spans="20:21" ht="15.75" customHeight="1" x14ac:dyDescent="0.4">
      <c r="T856" s="182"/>
      <c r="U856" s="182"/>
    </row>
    <row r="857" spans="20:21" ht="15.75" customHeight="1" x14ac:dyDescent="0.4">
      <c r="T857" s="182"/>
      <c r="U857" s="182"/>
    </row>
    <row r="858" spans="20:21" ht="15.75" customHeight="1" x14ac:dyDescent="0.4">
      <c r="T858" s="182"/>
      <c r="U858" s="182"/>
    </row>
    <row r="859" spans="20:21" ht="15.75" customHeight="1" x14ac:dyDescent="0.4">
      <c r="T859" s="182"/>
      <c r="U859" s="182"/>
    </row>
    <row r="860" spans="20:21" ht="15.75" customHeight="1" x14ac:dyDescent="0.4">
      <c r="T860" s="182"/>
      <c r="U860" s="182"/>
    </row>
    <row r="861" spans="20:21" ht="15.75" customHeight="1" x14ac:dyDescent="0.4">
      <c r="T861" s="182"/>
      <c r="U861" s="182"/>
    </row>
    <row r="862" spans="20:21" ht="15.75" customHeight="1" x14ac:dyDescent="0.4">
      <c r="T862" s="182"/>
      <c r="U862" s="182"/>
    </row>
    <row r="863" spans="20:21" ht="15.75" customHeight="1" x14ac:dyDescent="0.4">
      <c r="T863" s="182"/>
      <c r="U863" s="182"/>
    </row>
    <row r="864" spans="20:21" ht="15.75" customHeight="1" x14ac:dyDescent="0.4">
      <c r="T864" s="182"/>
      <c r="U864" s="182"/>
    </row>
    <row r="865" spans="20:21" ht="15.75" customHeight="1" x14ac:dyDescent="0.4">
      <c r="T865" s="182"/>
      <c r="U865" s="182"/>
    </row>
    <row r="866" spans="20:21" ht="15.75" customHeight="1" x14ac:dyDescent="0.4">
      <c r="T866" s="182"/>
      <c r="U866" s="182"/>
    </row>
    <row r="867" spans="20:21" ht="15.75" customHeight="1" x14ac:dyDescent="0.4">
      <c r="T867" s="182"/>
      <c r="U867" s="182"/>
    </row>
    <row r="868" spans="20:21" ht="15.75" customHeight="1" x14ac:dyDescent="0.4">
      <c r="T868" s="182"/>
      <c r="U868" s="182"/>
    </row>
    <row r="869" spans="20:21" ht="15.75" customHeight="1" x14ac:dyDescent="0.4">
      <c r="T869" s="182"/>
      <c r="U869" s="182"/>
    </row>
    <row r="870" spans="20:21" ht="15.75" customHeight="1" x14ac:dyDescent="0.4">
      <c r="T870" s="182"/>
      <c r="U870" s="182"/>
    </row>
    <row r="871" spans="20:21" ht="15.75" customHeight="1" x14ac:dyDescent="0.4">
      <c r="T871" s="182"/>
      <c r="U871" s="182"/>
    </row>
    <row r="872" spans="20:21" ht="15.75" customHeight="1" x14ac:dyDescent="0.4">
      <c r="T872" s="182"/>
      <c r="U872" s="182"/>
    </row>
    <row r="873" spans="20:21" ht="15.75" customHeight="1" x14ac:dyDescent="0.4">
      <c r="T873" s="182"/>
      <c r="U873" s="182"/>
    </row>
    <row r="874" spans="20:21" ht="15.75" customHeight="1" x14ac:dyDescent="0.4">
      <c r="T874" s="182"/>
      <c r="U874" s="182"/>
    </row>
    <row r="875" spans="20:21" ht="15.75" customHeight="1" x14ac:dyDescent="0.4">
      <c r="T875" s="182"/>
      <c r="U875" s="182"/>
    </row>
    <row r="876" spans="20:21" ht="15.75" customHeight="1" x14ac:dyDescent="0.4">
      <c r="T876" s="182"/>
      <c r="U876" s="182"/>
    </row>
    <row r="877" spans="20:21" ht="15.75" customHeight="1" x14ac:dyDescent="0.4">
      <c r="T877" s="182"/>
      <c r="U877" s="182"/>
    </row>
    <row r="878" spans="20:21" ht="15.75" customHeight="1" x14ac:dyDescent="0.4">
      <c r="T878" s="182"/>
      <c r="U878" s="182"/>
    </row>
    <row r="879" spans="20:21" ht="15.75" customHeight="1" x14ac:dyDescent="0.4">
      <c r="T879" s="182"/>
      <c r="U879" s="182"/>
    </row>
    <row r="880" spans="20:21" ht="15.75" customHeight="1" x14ac:dyDescent="0.4">
      <c r="T880" s="182"/>
      <c r="U880" s="182"/>
    </row>
    <row r="881" spans="20:21" ht="15.75" customHeight="1" x14ac:dyDescent="0.4">
      <c r="T881" s="182"/>
      <c r="U881" s="182"/>
    </row>
    <row r="882" spans="20:21" ht="15.75" customHeight="1" x14ac:dyDescent="0.4">
      <c r="T882" s="182"/>
      <c r="U882" s="182"/>
    </row>
    <row r="883" spans="20:21" ht="15.75" customHeight="1" x14ac:dyDescent="0.4">
      <c r="T883" s="182"/>
      <c r="U883" s="182"/>
    </row>
    <row r="884" spans="20:21" ht="15.75" customHeight="1" x14ac:dyDescent="0.4">
      <c r="T884" s="182"/>
      <c r="U884" s="182"/>
    </row>
    <row r="885" spans="20:21" ht="15.75" customHeight="1" x14ac:dyDescent="0.4">
      <c r="T885" s="182"/>
      <c r="U885" s="182"/>
    </row>
    <row r="886" spans="20:21" ht="15.75" customHeight="1" x14ac:dyDescent="0.4">
      <c r="T886" s="182"/>
      <c r="U886" s="182"/>
    </row>
    <row r="887" spans="20:21" ht="15.75" customHeight="1" x14ac:dyDescent="0.4">
      <c r="T887" s="182"/>
      <c r="U887" s="182"/>
    </row>
    <row r="888" spans="20:21" ht="15.75" customHeight="1" x14ac:dyDescent="0.4">
      <c r="T888" s="182"/>
      <c r="U888" s="182"/>
    </row>
    <row r="889" spans="20:21" ht="15.75" customHeight="1" x14ac:dyDescent="0.4">
      <c r="T889" s="182"/>
      <c r="U889" s="182"/>
    </row>
    <row r="890" spans="20:21" ht="15.75" customHeight="1" x14ac:dyDescent="0.4">
      <c r="T890" s="182"/>
      <c r="U890" s="182"/>
    </row>
    <row r="891" spans="20:21" ht="15.75" customHeight="1" x14ac:dyDescent="0.4">
      <c r="T891" s="182"/>
      <c r="U891" s="182"/>
    </row>
    <row r="892" spans="20:21" ht="15.75" customHeight="1" x14ac:dyDescent="0.4">
      <c r="T892" s="182"/>
      <c r="U892" s="182"/>
    </row>
    <row r="893" spans="20:21" ht="15.75" customHeight="1" x14ac:dyDescent="0.4">
      <c r="T893" s="182"/>
      <c r="U893" s="182"/>
    </row>
    <row r="894" spans="20:21" ht="15.75" customHeight="1" x14ac:dyDescent="0.4">
      <c r="T894" s="182"/>
      <c r="U894" s="182"/>
    </row>
    <row r="895" spans="20:21" ht="15.75" customHeight="1" x14ac:dyDescent="0.4">
      <c r="T895" s="182"/>
      <c r="U895" s="182"/>
    </row>
    <row r="896" spans="20:21" ht="15.75" customHeight="1" x14ac:dyDescent="0.4">
      <c r="T896" s="182"/>
      <c r="U896" s="182"/>
    </row>
    <row r="897" spans="20:21" ht="15.75" customHeight="1" x14ac:dyDescent="0.4">
      <c r="T897" s="182"/>
      <c r="U897" s="182"/>
    </row>
    <row r="898" spans="20:21" ht="15.75" customHeight="1" x14ac:dyDescent="0.4">
      <c r="T898" s="182"/>
      <c r="U898" s="182"/>
    </row>
    <row r="899" spans="20:21" ht="15.75" customHeight="1" x14ac:dyDescent="0.4">
      <c r="T899" s="182"/>
      <c r="U899" s="182"/>
    </row>
    <row r="900" spans="20:21" ht="15.75" customHeight="1" x14ac:dyDescent="0.4">
      <c r="T900" s="182"/>
      <c r="U900" s="182"/>
    </row>
    <row r="901" spans="20:21" ht="15.75" customHeight="1" x14ac:dyDescent="0.4">
      <c r="T901" s="182"/>
      <c r="U901" s="182"/>
    </row>
    <row r="902" spans="20:21" ht="15.75" customHeight="1" x14ac:dyDescent="0.4">
      <c r="T902" s="182"/>
      <c r="U902" s="182"/>
    </row>
    <row r="903" spans="20:21" ht="15.75" customHeight="1" x14ac:dyDescent="0.4">
      <c r="T903" s="182"/>
      <c r="U903" s="182"/>
    </row>
    <row r="904" spans="20:21" ht="15.75" customHeight="1" x14ac:dyDescent="0.4">
      <c r="T904" s="182"/>
      <c r="U904" s="182"/>
    </row>
    <row r="905" spans="20:21" ht="15.75" customHeight="1" x14ac:dyDescent="0.4">
      <c r="T905" s="182"/>
      <c r="U905" s="182"/>
    </row>
    <row r="906" spans="20:21" ht="15.75" customHeight="1" x14ac:dyDescent="0.4">
      <c r="T906" s="182"/>
      <c r="U906" s="182"/>
    </row>
    <row r="907" spans="20:21" ht="15.75" customHeight="1" x14ac:dyDescent="0.4">
      <c r="T907" s="182"/>
      <c r="U907" s="182"/>
    </row>
    <row r="908" spans="20:21" ht="15.75" customHeight="1" x14ac:dyDescent="0.4">
      <c r="T908" s="182"/>
      <c r="U908" s="182"/>
    </row>
    <row r="909" spans="20:21" ht="15.75" customHeight="1" x14ac:dyDescent="0.4">
      <c r="T909" s="182"/>
      <c r="U909" s="182"/>
    </row>
    <row r="910" spans="20:21" ht="15.75" customHeight="1" x14ac:dyDescent="0.4">
      <c r="T910" s="182"/>
      <c r="U910" s="182"/>
    </row>
    <row r="911" spans="20:21" ht="15.75" customHeight="1" x14ac:dyDescent="0.4">
      <c r="T911" s="182"/>
      <c r="U911" s="182"/>
    </row>
    <row r="912" spans="20:21" ht="15.75" customHeight="1" x14ac:dyDescent="0.4">
      <c r="T912" s="182"/>
      <c r="U912" s="182"/>
    </row>
    <row r="913" spans="20:21" ht="15.75" customHeight="1" x14ac:dyDescent="0.4">
      <c r="T913" s="182"/>
      <c r="U913" s="182"/>
    </row>
    <row r="914" spans="20:21" ht="15.75" customHeight="1" x14ac:dyDescent="0.4">
      <c r="T914" s="182"/>
      <c r="U914" s="182"/>
    </row>
    <row r="915" spans="20:21" ht="15.75" customHeight="1" x14ac:dyDescent="0.4">
      <c r="T915" s="182"/>
      <c r="U915" s="182"/>
    </row>
    <row r="916" spans="20:21" ht="15.75" customHeight="1" x14ac:dyDescent="0.4">
      <c r="T916" s="182"/>
      <c r="U916" s="182"/>
    </row>
    <row r="917" spans="20:21" ht="15.75" customHeight="1" x14ac:dyDescent="0.4">
      <c r="T917" s="182"/>
      <c r="U917" s="182"/>
    </row>
    <row r="918" spans="20:21" ht="15.75" customHeight="1" x14ac:dyDescent="0.4">
      <c r="T918" s="182"/>
      <c r="U918" s="182"/>
    </row>
    <row r="919" spans="20:21" ht="15.75" customHeight="1" x14ac:dyDescent="0.4">
      <c r="T919" s="182"/>
      <c r="U919" s="182"/>
    </row>
    <row r="920" spans="20:21" ht="15.75" customHeight="1" x14ac:dyDescent="0.4">
      <c r="T920" s="182"/>
      <c r="U920" s="182"/>
    </row>
    <row r="921" spans="20:21" ht="15.75" customHeight="1" x14ac:dyDescent="0.4">
      <c r="T921" s="182"/>
      <c r="U921" s="182"/>
    </row>
    <row r="922" spans="20:21" ht="15.75" customHeight="1" x14ac:dyDescent="0.4">
      <c r="T922" s="182"/>
      <c r="U922" s="182"/>
    </row>
    <row r="923" spans="20:21" ht="15.75" customHeight="1" x14ac:dyDescent="0.4">
      <c r="T923" s="182"/>
      <c r="U923" s="182"/>
    </row>
    <row r="924" spans="20:21" ht="15.75" customHeight="1" x14ac:dyDescent="0.4">
      <c r="T924" s="182"/>
      <c r="U924" s="182"/>
    </row>
    <row r="925" spans="20:21" ht="15.75" customHeight="1" x14ac:dyDescent="0.4">
      <c r="T925" s="182"/>
      <c r="U925" s="182"/>
    </row>
    <row r="926" spans="20:21" ht="15.75" customHeight="1" x14ac:dyDescent="0.4">
      <c r="T926" s="182"/>
      <c r="U926" s="182"/>
    </row>
    <row r="927" spans="20:21" ht="15.75" customHeight="1" x14ac:dyDescent="0.4">
      <c r="T927" s="182"/>
      <c r="U927" s="182"/>
    </row>
    <row r="928" spans="20:21" ht="15.75" customHeight="1" x14ac:dyDescent="0.4">
      <c r="T928" s="182"/>
      <c r="U928" s="182"/>
    </row>
    <row r="929" spans="20:21" ht="15.75" customHeight="1" x14ac:dyDescent="0.4">
      <c r="T929" s="182"/>
      <c r="U929" s="182"/>
    </row>
    <row r="930" spans="20:21" ht="15.75" customHeight="1" x14ac:dyDescent="0.4">
      <c r="T930" s="182"/>
      <c r="U930" s="182"/>
    </row>
    <row r="931" spans="20:21" ht="15.75" customHeight="1" x14ac:dyDescent="0.4">
      <c r="T931" s="182"/>
      <c r="U931" s="182"/>
    </row>
    <row r="932" spans="20:21" ht="15.75" customHeight="1" x14ac:dyDescent="0.4">
      <c r="T932" s="182"/>
      <c r="U932" s="182"/>
    </row>
    <row r="933" spans="20:21" ht="15.75" customHeight="1" x14ac:dyDescent="0.4">
      <c r="T933" s="182"/>
      <c r="U933" s="182"/>
    </row>
    <row r="934" spans="20:21" ht="15.75" customHeight="1" x14ac:dyDescent="0.4">
      <c r="T934" s="182"/>
      <c r="U934" s="182"/>
    </row>
    <row r="935" spans="20:21" ht="15.75" customHeight="1" x14ac:dyDescent="0.4">
      <c r="T935" s="182"/>
      <c r="U935" s="182"/>
    </row>
    <row r="936" spans="20:21" ht="15.75" customHeight="1" x14ac:dyDescent="0.4">
      <c r="T936" s="182"/>
      <c r="U936" s="182"/>
    </row>
    <row r="937" spans="20:21" ht="15.75" customHeight="1" x14ac:dyDescent="0.4">
      <c r="T937" s="182"/>
      <c r="U937" s="182"/>
    </row>
    <row r="938" spans="20:21" ht="15.75" customHeight="1" x14ac:dyDescent="0.4">
      <c r="T938" s="182"/>
      <c r="U938" s="182"/>
    </row>
    <row r="939" spans="20:21" ht="15.75" customHeight="1" x14ac:dyDescent="0.4">
      <c r="T939" s="182"/>
      <c r="U939" s="182"/>
    </row>
    <row r="940" spans="20:21" ht="15.75" customHeight="1" x14ac:dyDescent="0.4">
      <c r="T940" s="182"/>
      <c r="U940" s="182"/>
    </row>
    <row r="941" spans="20:21" ht="15.75" customHeight="1" x14ac:dyDescent="0.4">
      <c r="T941" s="182"/>
      <c r="U941" s="182"/>
    </row>
    <row r="942" spans="20:21" ht="15.75" customHeight="1" x14ac:dyDescent="0.4">
      <c r="T942" s="182"/>
      <c r="U942" s="182"/>
    </row>
    <row r="943" spans="20:21" ht="15.75" customHeight="1" x14ac:dyDescent="0.4">
      <c r="T943" s="182"/>
      <c r="U943" s="182"/>
    </row>
    <row r="944" spans="20:21" ht="15.75" customHeight="1" x14ac:dyDescent="0.4">
      <c r="T944" s="182"/>
      <c r="U944" s="182"/>
    </row>
    <row r="945" spans="20:21" ht="15.75" customHeight="1" x14ac:dyDescent="0.4">
      <c r="T945" s="182"/>
      <c r="U945" s="182"/>
    </row>
    <row r="946" spans="20:21" ht="15.75" customHeight="1" x14ac:dyDescent="0.4">
      <c r="T946" s="182"/>
      <c r="U946" s="182"/>
    </row>
    <row r="947" spans="20:21" ht="15.75" customHeight="1" x14ac:dyDescent="0.4">
      <c r="T947" s="182"/>
      <c r="U947" s="182"/>
    </row>
    <row r="948" spans="20:21" ht="15.75" customHeight="1" x14ac:dyDescent="0.4">
      <c r="T948" s="182"/>
      <c r="U948" s="182"/>
    </row>
    <row r="949" spans="20:21" ht="15.75" customHeight="1" x14ac:dyDescent="0.4">
      <c r="T949" s="182"/>
      <c r="U949" s="182"/>
    </row>
    <row r="950" spans="20:21" ht="15.75" customHeight="1" x14ac:dyDescent="0.4">
      <c r="T950" s="182"/>
      <c r="U950" s="182"/>
    </row>
    <row r="951" spans="20:21" ht="15.75" customHeight="1" x14ac:dyDescent="0.4">
      <c r="T951" s="182"/>
      <c r="U951" s="182"/>
    </row>
    <row r="952" spans="20:21" ht="15.75" customHeight="1" x14ac:dyDescent="0.4">
      <c r="T952" s="182"/>
      <c r="U952" s="182"/>
    </row>
    <row r="953" spans="20:21" ht="15.75" customHeight="1" x14ac:dyDescent="0.4">
      <c r="T953" s="182"/>
      <c r="U953" s="182"/>
    </row>
    <row r="954" spans="20:21" ht="15.75" customHeight="1" x14ac:dyDescent="0.4">
      <c r="T954" s="182"/>
      <c r="U954" s="182"/>
    </row>
    <row r="955" spans="20:21" ht="15.75" customHeight="1" x14ac:dyDescent="0.4">
      <c r="T955" s="182"/>
      <c r="U955" s="182"/>
    </row>
    <row r="956" spans="20:21" ht="15.75" customHeight="1" x14ac:dyDescent="0.4">
      <c r="T956" s="182"/>
      <c r="U956" s="182"/>
    </row>
    <row r="957" spans="20:21" ht="15.75" customHeight="1" x14ac:dyDescent="0.4">
      <c r="T957" s="182"/>
      <c r="U957" s="182"/>
    </row>
    <row r="958" spans="20:21" ht="15.75" customHeight="1" x14ac:dyDescent="0.4">
      <c r="T958" s="182"/>
      <c r="U958" s="182"/>
    </row>
    <row r="959" spans="20:21" ht="15.75" customHeight="1" x14ac:dyDescent="0.4">
      <c r="T959" s="182"/>
      <c r="U959" s="182"/>
    </row>
    <row r="960" spans="20:21" ht="15.75" customHeight="1" x14ac:dyDescent="0.4">
      <c r="T960" s="182"/>
      <c r="U960" s="182"/>
    </row>
    <row r="961" spans="20:21" ht="15.75" customHeight="1" x14ac:dyDescent="0.4">
      <c r="T961" s="182"/>
      <c r="U961" s="182"/>
    </row>
    <row r="962" spans="20:21" ht="15.75" customHeight="1" x14ac:dyDescent="0.4">
      <c r="T962" s="182"/>
      <c r="U962" s="182"/>
    </row>
    <row r="963" spans="20:21" ht="15.75" customHeight="1" x14ac:dyDescent="0.4">
      <c r="T963" s="182"/>
      <c r="U963" s="182"/>
    </row>
    <row r="964" spans="20:21" ht="15.75" customHeight="1" x14ac:dyDescent="0.4">
      <c r="T964" s="182"/>
      <c r="U964" s="182"/>
    </row>
    <row r="965" spans="20:21" ht="15.75" customHeight="1" x14ac:dyDescent="0.4">
      <c r="T965" s="182"/>
      <c r="U965" s="182"/>
    </row>
    <row r="966" spans="20:21" ht="15.75" customHeight="1" x14ac:dyDescent="0.4">
      <c r="T966" s="182"/>
      <c r="U966" s="182"/>
    </row>
    <row r="967" spans="20:21" ht="15.75" customHeight="1" x14ac:dyDescent="0.4">
      <c r="T967" s="182"/>
      <c r="U967" s="182"/>
    </row>
    <row r="968" spans="20:21" ht="15.75" customHeight="1" x14ac:dyDescent="0.4">
      <c r="T968" s="182"/>
      <c r="U968" s="182"/>
    </row>
    <row r="969" spans="20:21" ht="15.75" customHeight="1" x14ac:dyDescent="0.4">
      <c r="T969" s="182"/>
      <c r="U969" s="182"/>
    </row>
    <row r="970" spans="20:21" ht="15.75" customHeight="1" x14ac:dyDescent="0.4">
      <c r="T970" s="182"/>
      <c r="U970" s="182"/>
    </row>
    <row r="971" spans="20:21" ht="15.75" customHeight="1" x14ac:dyDescent="0.4">
      <c r="T971" s="182"/>
      <c r="U971" s="182"/>
    </row>
    <row r="972" spans="20:21" ht="15.75" customHeight="1" x14ac:dyDescent="0.4">
      <c r="T972" s="182"/>
      <c r="U972" s="182"/>
    </row>
    <row r="973" spans="20:21" ht="15.75" customHeight="1" x14ac:dyDescent="0.4">
      <c r="T973" s="182"/>
      <c r="U973" s="182"/>
    </row>
    <row r="974" spans="20:21" ht="15.75" customHeight="1" x14ac:dyDescent="0.4">
      <c r="T974" s="182"/>
      <c r="U974" s="182"/>
    </row>
    <row r="975" spans="20:21" ht="15.75" customHeight="1" x14ac:dyDescent="0.4">
      <c r="T975" s="182"/>
      <c r="U975" s="182"/>
    </row>
    <row r="976" spans="20:21" ht="15.75" customHeight="1" x14ac:dyDescent="0.4">
      <c r="T976" s="182"/>
      <c r="U976" s="182"/>
    </row>
    <row r="977" spans="20:21" ht="15.75" customHeight="1" x14ac:dyDescent="0.4">
      <c r="T977" s="182"/>
      <c r="U977" s="182"/>
    </row>
    <row r="978" spans="20:21" ht="15.75" customHeight="1" x14ac:dyDescent="0.4">
      <c r="T978" s="182"/>
      <c r="U978" s="182"/>
    </row>
    <row r="979" spans="20:21" ht="15.75" customHeight="1" x14ac:dyDescent="0.4">
      <c r="T979" s="182"/>
      <c r="U979" s="182"/>
    </row>
    <row r="980" spans="20:21" ht="15.75" customHeight="1" x14ac:dyDescent="0.4">
      <c r="T980" s="182"/>
      <c r="U980" s="182"/>
    </row>
    <row r="981" spans="20:21" ht="15.75" customHeight="1" x14ac:dyDescent="0.4">
      <c r="T981" s="182"/>
      <c r="U981" s="182"/>
    </row>
    <row r="982" spans="20:21" ht="15.75" customHeight="1" x14ac:dyDescent="0.4">
      <c r="T982" s="182"/>
      <c r="U982" s="182"/>
    </row>
    <row r="983" spans="20:21" ht="15.75" customHeight="1" x14ac:dyDescent="0.4">
      <c r="T983" s="182"/>
      <c r="U983" s="182"/>
    </row>
    <row r="984" spans="20:21" ht="15.75" customHeight="1" x14ac:dyDescent="0.4">
      <c r="T984" s="182"/>
      <c r="U984" s="182"/>
    </row>
    <row r="985" spans="20:21" ht="15.75" customHeight="1" x14ac:dyDescent="0.4">
      <c r="T985" s="182"/>
      <c r="U985" s="182"/>
    </row>
    <row r="986" spans="20:21" ht="15.75" customHeight="1" x14ac:dyDescent="0.4">
      <c r="T986" s="182"/>
      <c r="U986" s="182"/>
    </row>
    <row r="987" spans="20:21" ht="15.75" customHeight="1" x14ac:dyDescent="0.4">
      <c r="T987" s="182"/>
      <c r="U987" s="182"/>
    </row>
    <row r="988" spans="20:21" ht="15.75" customHeight="1" x14ac:dyDescent="0.4">
      <c r="T988" s="182"/>
      <c r="U988" s="182"/>
    </row>
    <row r="989" spans="20:21" ht="15.75" customHeight="1" x14ac:dyDescent="0.4">
      <c r="T989" s="182"/>
      <c r="U989" s="182"/>
    </row>
    <row r="990" spans="20:21" ht="15.75" customHeight="1" x14ac:dyDescent="0.4">
      <c r="T990" s="182"/>
      <c r="U990" s="182"/>
    </row>
    <row r="991" spans="20:21" ht="15.75" customHeight="1" x14ac:dyDescent="0.4">
      <c r="T991" s="182"/>
      <c r="U991" s="182"/>
    </row>
    <row r="992" spans="20:21" ht="15.75" customHeight="1" x14ac:dyDescent="0.4">
      <c r="T992" s="182"/>
      <c r="U992" s="182"/>
    </row>
    <row r="993" spans="20:21" ht="15.75" customHeight="1" x14ac:dyDescent="0.4">
      <c r="T993" s="182"/>
      <c r="U993" s="182"/>
    </row>
    <row r="994" spans="20:21" ht="15.75" customHeight="1" x14ac:dyDescent="0.4">
      <c r="T994" s="182"/>
      <c r="U994" s="182"/>
    </row>
    <row r="995" spans="20:21" ht="15.75" customHeight="1" x14ac:dyDescent="0.4">
      <c r="T995" s="182"/>
      <c r="U995" s="182"/>
    </row>
    <row r="996" spans="20:21" ht="15.75" customHeight="1" x14ac:dyDescent="0.4">
      <c r="T996" s="182"/>
      <c r="U996" s="182"/>
    </row>
    <row r="997" spans="20:21" ht="15.75" customHeight="1" x14ac:dyDescent="0.4">
      <c r="T997" s="182"/>
      <c r="U997" s="182"/>
    </row>
    <row r="998" spans="20:21" ht="15.75" customHeight="1" x14ac:dyDescent="0.4">
      <c r="T998" s="182"/>
      <c r="U998" s="182"/>
    </row>
    <row r="999" spans="20:21" ht="15.75" customHeight="1" x14ac:dyDescent="0.4">
      <c r="T999" s="182"/>
      <c r="U999" s="182"/>
    </row>
    <row r="1000" spans="20:21" ht="15.75" customHeight="1" x14ac:dyDescent="0.4">
      <c r="T1000" s="182"/>
      <c r="U1000" s="182"/>
    </row>
  </sheetData>
  <autoFilter ref="C7:R628" xr:uid="{00000000-0009-0000-0000-000008000000}"/>
  <mergeCells count="4">
    <mergeCell ref="C1:R1"/>
    <mergeCell ref="C2:R2"/>
    <mergeCell ref="F4:O4"/>
    <mergeCell ref="P4:R4"/>
  </mergeCells>
  <pageMargins left="0.25" right="0.25" top="0.75" bottom="0.75" header="0" footer="0"/>
  <pageSetup scale="60" orientation="portrait" r:id="rId1"/>
  <rowBreaks count="17" manualBreakCount="17">
    <brk id="7" max="17" man="1"/>
    <brk id="41" max="17" man="1"/>
    <brk id="75" max="17" man="1"/>
    <brk id="109" max="17" man="1"/>
    <brk id="143" max="17" man="1"/>
    <brk id="177" max="17" man="1"/>
    <brk id="211" max="17" man="1"/>
    <brk id="245" max="17" man="1"/>
    <brk id="279" max="17" man="1"/>
    <brk id="313" max="17" man="1"/>
    <brk id="347" max="17" man="1"/>
    <brk id="381" max="17" man="1"/>
    <brk id="415" max="17" man="1"/>
    <brk id="466" max="17" man="1"/>
    <brk id="517" max="17" man="1"/>
    <brk id="551" max="17" man="1"/>
    <brk id="59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213</vt:i4>
      </vt:variant>
    </vt:vector>
  </HeadingPairs>
  <TitlesOfParts>
    <vt:vector size="228" baseType="lpstr">
      <vt:lpstr>Key1 Locations, Areas, Lots</vt:lpstr>
      <vt:lpstr>University-wide</vt:lpstr>
      <vt:lpstr>By Location</vt:lpstr>
      <vt:lpstr>By Area</vt:lpstr>
      <vt:lpstr>By Neighborhood</vt:lpstr>
      <vt:lpstr>By Lot - SIO</vt:lpstr>
      <vt:lpstr>By Lot - West Campus</vt:lpstr>
      <vt:lpstr>By Lot - East Campus</vt:lpstr>
      <vt:lpstr>By Lot - Hillcrest</vt:lpstr>
      <vt:lpstr>By Structure</vt:lpstr>
      <vt:lpstr>South Structure</vt:lpstr>
      <vt:lpstr>Closed</vt:lpstr>
      <vt:lpstr>Visitor</vt:lpstr>
      <vt:lpstr>Allocated</vt:lpstr>
      <vt:lpstr>Schedule</vt:lpstr>
      <vt:lpstr>AthemaStructure</vt:lpstr>
      <vt:lpstr>AthenaV1</vt:lpstr>
      <vt:lpstr>CPEallocated</vt:lpstr>
      <vt:lpstr>CPEstructure_allocated</vt:lpstr>
      <vt:lpstr>CPWallocated</vt:lpstr>
      <vt:lpstr>CPWstructure_allocated</vt:lpstr>
      <vt:lpstr>CPWV1</vt:lpstr>
      <vt:lpstr>CPWV2</vt:lpstr>
      <vt:lpstr>CPWV3</vt:lpstr>
      <vt:lpstr>CPWV4</vt:lpstr>
      <vt:lpstr>CPWV5</vt:lpstr>
      <vt:lpstr>p113a</vt:lpstr>
      <vt:lpstr>p113ada</vt:lpstr>
      <vt:lpstr>p113allocated</vt:lpstr>
      <vt:lpstr>p113b</vt:lpstr>
      <vt:lpstr>p113Load</vt:lpstr>
      <vt:lpstr>p113r</vt:lpstr>
      <vt:lpstr>p113S</vt:lpstr>
      <vt:lpstr>p113sy</vt:lpstr>
      <vt:lpstr>p113total</vt:lpstr>
      <vt:lpstr>p113uc</vt:lpstr>
      <vt:lpstr>p113v</vt:lpstr>
      <vt:lpstr>p114a</vt:lpstr>
      <vt:lpstr>p114ada</vt:lpstr>
      <vt:lpstr>p114allocated</vt:lpstr>
      <vt:lpstr>p114b</vt:lpstr>
      <vt:lpstr>p114Load</vt:lpstr>
      <vt:lpstr>p114r</vt:lpstr>
      <vt:lpstr>p114s</vt:lpstr>
      <vt:lpstr>p114sy</vt:lpstr>
      <vt:lpstr>p114total</vt:lpstr>
      <vt:lpstr>p114uc</vt:lpstr>
      <vt:lpstr>p114v</vt:lpstr>
      <vt:lpstr>p201a</vt:lpstr>
      <vt:lpstr>p201ada</vt:lpstr>
      <vt:lpstr>p201allocated</vt:lpstr>
      <vt:lpstr>p201b</vt:lpstr>
      <vt:lpstr>p201Loading</vt:lpstr>
      <vt:lpstr>p201r</vt:lpstr>
      <vt:lpstr>p201s</vt:lpstr>
      <vt:lpstr>p201sy</vt:lpstr>
      <vt:lpstr>p201uc</vt:lpstr>
      <vt:lpstr>p201v</vt:lpstr>
      <vt:lpstr>P202A</vt:lpstr>
      <vt:lpstr>P202ada</vt:lpstr>
      <vt:lpstr>P202Allocated</vt:lpstr>
      <vt:lpstr>P202B</vt:lpstr>
      <vt:lpstr>P202Loading</vt:lpstr>
      <vt:lpstr>P202Reserved</vt:lpstr>
      <vt:lpstr>P202S</vt:lpstr>
      <vt:lpstr>P202Service_Yard</vt:lpstr>
      <vt:lpstr>P202Total</vt:lpstr>
      <vt:lpstr>P202UC_Vehicle</vt:lpstr>
      <vt:lpstr>P202Visitor</vt:lpstr>
      <vt:lpstr>P203A</vt:lpstr>
      <vt:lpstr>P203Accessible</vt:lpstr>
      <vt:lpstr>P203Allocated</vt:lpstr>
      <vt:lpstr>P203B</vt:lpstr>
      <vt:lpstr>P203Loading</vt:lpstr>
      <vt:lpstr>P203Reserved</vt:lpstr>
      <vt:lpstr>P203S</vt:lpstr>
      <vt:lpstr>P203Service_Yard</vt:lpstr>
      <vt:lpstr>P203Total</vt:lpstr>
      <vt:lpstr>P203UC_Vehicle</vt:lpstr>
      <vt:lpstr>P203V</vt:lpstr>
      <vt:lpstr>P204A</vt:lpstr>
      <vt:lpstr>P204Accessible</vt:lpstr>
      <vt:lpstr>P204Allocated</vt:lpstr>
      <vt:lpstr>P204B</vt:lpstr>
      <vt:lpstr>P204Loading</vt:lpstr>
      <vt:lpstr>P204Reserved</vt:lpstr>
      <vt:lpstr>P204S</vt:lpstr>
      <vt:lpstr>P204Service_Yard</vt:lpstr>
      <vt:lpstr>P204Total</vt:lpstr>
      <vt:lpstr>P204UC_Vehicle</vt:lpstr>
      <vt:lpstr>P204Visitor</vt:lpstr>
      <vt:lpstr>P205A</vt:lpstr>
      <vt:lpstr>P205Accessible</vt:lpstr>
      <vt:lpstr>P205Allocated</vt:lpstr>
      <vt:lpstr>P205B</vt:lpstr>
      <vt:lpstr>P205Loading</vt:lpstr>
      <vt:lpstr>P205Reserved</vt:lpstr>
      <vt:lpstr>P205S</vt:lpstr>
      <vt:lpstr>P205Service_Yard</vt:lpstr>
      <vt:lpstr>P205Total</vt:lpstr>
      <vt:lpstr>P205UC_Vehicle</vt:lpstr>
      <vt:lpstr>P205Visitor</vt:lpstr>
      <vt:lpstr>P206a_regular</vt:lpstr>
      <vt:lpstr>P206Accessible</vt:lpstr>
      <vt:lpstr>p206allocated</vt:lpstr>
      <vt:lpstr>P206B</vt:lpstr>
      <vt:lpstr>P206Loading</vt:lpstr>
      <vt:lpstr>P206Reserved</vt:lpstr>
      <vt:lpstr>P206S</vt:lpstr>
      <vt:lpstr>P206Service_Yard</vt:lpstr>
      <vt:lpstr>P206Total</vt:lpstr>
      <vt:lpstr>P206UC_Vehicle</vt:lpstr>
      <vt:lpstr>p206visitor</vt:lpstr>
      <vt:lpstr>P302A</vt:lpstr>
      <vt:lpstr>P302Accessible</vt:lpstr>
      <vt:lpstr>P302Allocated</vt:lpstr>
      <vt:lpstr>P302B</vt:lpstr>
      <vt:lpstr>P302Loading</vt:lpstr>
      <vt:lpstr>P302Reserved</vt:lpstr>
      <vt:lpstr>P302S</vt:lpstr>
      <vt:lpstr>P302Service_Yard</vt:lpstr>
      <vt:lpstr>P302Total</vt:lpstr>
      <vt:lpstr>P302UC_Vehicle</vt:lpstr>
      <vt:lpstr>P302Visitor</vt:lpstr>
      <vt:lpstr>P303A</vt:lpstr>
      <vt:lpstr>P303Accessible</vt:lpstr>
      <vt:lpstr>P303Allocated</vt:lpstr>
      <vt:lpstr>P303B</vt:lpstr>
      <vt:lpstr>P303Loading</vt:lpstr>
      <vt:lpstr>P303Reserved</vt:lpstr>
      <vt:lpstr>P303S</vt:lpstr>
      <vt:lpstr>P303Service_Yard</vt:lpstr>
      <vt:lpstr>P303Total</vt:lpstr>
      <vt:lpstr>P303UC_Vehicle</vt:lpstr>
      <vt:lpstr>P303Visitor</vt:lpstr>
      <vt:lpstr>P304A</vt:lpstr>
      <vt:lpstr>P304Accessible</vt:lpstr>
      <vt:lpstr>P304Allocated</vt:lpstr>
      <vt:lpstr>P304B</vt:lpstr>
      <vt:lpstr>P304Loading</vt:lpstr>
      <vt:lpstr>P304Reserved</vt:lpstr>
      <vt:lpstr>P304S</vt:lpstr>
      <vt:lpstr>P304Service_Yard</vt:lpstr>
      <vt:lpstr>P304Total</vt:lpstr>
      <vt:lpstr>P304UC_Vehicle</vt:lpstr>
      <vt:lpstr>P304Visitor</vt:lpstr>
      <vt:lpstr>P306A</vt:lpstr>
      <vt:lpstr>P306Accessible</vt:lpstr>
      <vt:lpstr>P306Allocated</vt:lpstr>
      <vt:lpstr>P306B</vt:lpstr>
      <vt:lpstr>P306Loading</vt:lpstr>
      <vt:lpstr>P306Reserved</vt:lpstr>
      <vt:lpstr>P306S</vt:lpstr>
      <vt:lpstr>P306Service_Yard</vt:lpstr>
      <vt:lpstr>P306Total</vt:lpstr>
      <vt:lpstr>P306UC_Vehicle</vt:lpstr>
      <vt:lpstr>P306Visitor</vt:lpstr>
      <vt:lpstr>P308A</vt:lpstr>
      <vt:lpstr>P308Accessible</vt:lpstr>
      <vt:lpstr>P308Allocated</vt:lpstr>
      <vt:lpstr>P308B</vt:lpstr>
      <vt:lpstr>P308Loading</vt:lpstr>
      <vt:lpstr>P308Reserved</vt:lpstr>
      <vt:lpstr>P308S</vt:lpstr>
      <vt:lpstr>P308Service_Yard</vt:lpstr>
      <vt:lpstr>P308Total</vt:lpstr>
      <vt:lpstr>P308UC_Vehicle</vt:lpstr>
      <vt:lpstr>P308Visitor</vt:lpstr>
      <vt:lpstr>P309A</vt:lpstr>
      <vt:lpstr>P309Accessible</vt:lpstr>
      <vt:lpstr>P309Allocated</vt:lpstr>
      <vt:lpstr>P309B</vt:lpstr>
      <vt:lpstr>P309Loading</vt:lpstr>
      <vt:lpstr>P309Reserved</vt:lpstr>
      <vt:lpstr>P309S</vt:lpstr>
      <vt:lpstr>P309Service_Yard</vt:lpstr>
      <vt:lpstr>P309Total</vt:lpstr>
      <vt:lpstr>P309UC_Vehicle</vt:lpstr>
      <vt:lpstr>P309Visitor</vt:lpstr>
      <vt:lpstr>P310A</vt:lpstr>
      <vt:lpstr>P310Accessible</vt:lpstr>
      <vt:lpstr>P310Allocated</vt:lpstr>
      <vt:lpstr>P310B</vt:lpstr>
      <vt:lpstr>P310Loading</vt:lpstr>
      <vt:lpstr>P310Reserved</vt:lpstr>
      <vt:lpstr>P310S</vt:lpstr>
      <vt:lpstr>P310Service_Yard</vt:lpstr>
      <vt:lpstr>P310Total</vt:lpstr>
      <vt:lpstr>P310UC_Vehicle</vt:lpstr>
      <vt:lpstr>P310Visitor</vt:lpstr>
      <vt:lpstr>P414A</vt:lpstr>
      <vt:lpstr>P414Accessible</vt:lpstr>
      <vt:lpstr>P414Allocated</vt:lpstr>
      <vt:lpstr>P414B</vt:lpstr>
      <vt:lpstr>P414Loading</vt:lpstr>
      <vt:lpstr>P414Reserved</vt:lpstr>
      <vt:lpstr>P414S</vt:lpstr>
      <vt:lpstr>P414Service_Yard</vt:lpstr>
      <vt:lpstr>P414Total</vt:lpstr>
      <vt:lpstr>P414UC_Vehicle</vt:lpstr>
      <vt:lpstr>P414Visitor</vt:lpstr>
      <vt:lpstr>'By Area'!Print_Area</vt:lpstr>
      <vt:lpstr>'By Location'!Print_Area</vt:lpstr>
      <vt:lpstr>'By Lot - East Campus'!Print_Area</vt:lpstr>
      <vt:lpstr>'By Lot - Hillcrest'!Print_Area</vt:lpstr>
      <vt:lpstr>'By Lot - SIO'!Print_Area</vt:lpstr>
      <vt:lpstr>'By Lot - West Campus'!Print_Area</vt:lpstr>
      <vt:lpstr>'By Neighborhood'!Print_Area</vt:lpstr>
      <vt:lpstr>Allocated!Print_Titles</vt:lpstr>
      <vt:lpstr>'By Area'!Print_Titles</vt:lpstr>
      <vt:lpstr>'By Lot - East Campus'!Print_Titles</vt:lpstr>
      <vt:lpstr>'By Lot - Hillcrest'!Print_Titles</vt:lpstr>
      <vt:lpstr>'By Lot - SIO'!Print_Titles</vt:lpstr>
      <vt:lpstr>'By Lot - West Campus'!Print_Titles</vt:lpstr>
      <vt:lpstr>'By Neighborhood'!Print_Titles</vt:lpstr>
      <vt:lpstr>'By Structure'!Print_Titles</vt:lpstr>
      <vt:lpstr>'South Structure'!Print_Titles</vt:lpstr>
      <vt:lpstr>ScholarsB3A</vt:lpstr>
      <vt:lpstr>ScholarsB3ada</vt:lpstr>
      <vt:lpstr>ScholarsB3allocated</vt:lpstr>
      <vt:lpstr>ScholarsB3B</vt:lpstr>
      <vt:lpstr>ScholarsB3Loading</vt:lpstr>
      <vt:lpstr>ScholarsB3reserved</vt:lpstr>
      <vt:lpstr>ScholarsB3S</vt:lpstr>
      <vt:lpstr>ScholarsB3sy</vt:lpstr>
      <vt:lpstr>ScholarsB3total</vt:lpstr>
      <vt:lpstr>ScholarsB3uc</vt:lpstr>
      <vt:lpstr>ScholarsB3visitor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s2chavez@UCSD.EDU</dc:creator>
  <cp:lastModifiedBy>Sandra E Chavez-martinez</cp:lastModifiedBy>
  <cp:lastPrinted>2022-12-09T21:06:37Z</cp:lastPrinted>
  <dcterms:created xsi:type="dcterms:W3CDTF">2019-12-20T00:51:09Z</dcterms:created>
  <dcterms:modified xsi:type="dcterms:W3CDTF">2023-05-17T16:07:01Z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0x0101001C39BCF8C10C0F4DBE17E99B61C93E7A</vt:lpwstr>
  </property>
  <property fmtid="{D5CDD505-2E9C-101B-9397-08002B2CF9AE}" pid="3" name="Order">
    <vt:r8>10900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