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eter\Documents\PCB_PiGateway\"/>
    </mc:Choice>
  </mc:AlternateContent>
  <bookViews>
    <workbookView xWindow="240" yWindow="75" windowWidth="20115" windowHeight="7995" activeTab="1"/>
  </bookViews>
  <sheets>
    <sheet name="teensy" sheetId="1" r:id="rId1"/>
    <sheet name="pi" sheetId="7" r:id="rId2"/>
    <sheet name="beth_compile" sheetId="5" r:id="rId3"/>
    <sheet name="sd_card_size" sheetId="2" r:id="rId4"/>
    <sheet name="logo" sheetId="3" r:id="rId5"/>
    <sheet name="Web Sheets" sheetId="6" r:id="rId6"/>
  </sheets>
  <definedNames>
    <definedName name="_xlnm._FilterDatabase" localSheetId="2" hidden="1">beth_compile!$A$2:$E$22</definedName>
    <definedName name="_xlnm._FilterDatabase" localSheetId="0" hidden="1">teensy!$A$2:$O$121</definedName>
    <definedName name="en?vendor_0_keywords_PRPC040SACN_RC" localSheetId="5">'Web Sheets'!$A$1:$C$200</definedName>
  </definedNames>
  <calcPr calcId="162913"/>
</workbook>
</file>

<file path=xl/calcChain.xml><?xml version="1.0" encoding="utf-8"?>
<calcChain xmlns="http://schemas.openxmlformats.org/spreadsheetml/2006/main">
  <c r="L8" i="7" l="1"/>
  <c r="L9" i="7" l="1"/>
  <c r="C5" i="7" l="1"/>
  <c r="C4" i="7"/>
  <c r="E4" i="7" s="1"/>
  <c r="C3" i="7"/>
  <c r="I95" i="7" s="1"/>
  <c r="E24" i="5"/>
  <c r="H6" i="5"/>
  <c r="H18" i="5"/>
  <c r="H22" i="5"/>
  <c r="H20" i="5"/>
  <c r="H3" i="5"/>
  <c r="I97" i="7"/>
  <c r="I98" i="7"/>
  <c r="I100" i="7"/>
  <c r="K48" i="7"/>
  <c r="D48" i="7" s="1"/>
  <c r="E48" i="7" s="1"/>
  <c r="I48" i="7"/>
  <c r="G48" i="7"/>
  <c r="I4" i="7"/>
  <c r="K5" i="7"/>
  <c r="D5" i="7" s="1"/>
  <c r="E5" i="7" s="1"/>
  <c r="I5" i="7"/>
  <c r="G5" i="7"/>
  <c r="K4" i="7"/>
  <c r="D4" i="7" s="1"/>
  <c r="G4" i="7"/>
  <c r="I99" i="7" l="1"/>
  <c r="I96" i="7"/>
  <c r="E3" i="7"/>
  <c r="K3" i="7"/>
  <c r="H9" i="7" l="1"/>
  <c r="I9" i="7" s="1"/>
  <c r="H8" i="7"/>
  <c r="I92" i="7" s="1"/>
  <c r="F9" i="7"/>
  <c r="F8" i="7"/>
  <c r="G8" i="7" s="1"/>
  <c r="K10" i="7"/>
  <c r="D10" i="7" s="1"/>
  <c r="E10" i="7" s="1"/>
  <c r="I10" i="7"/>
  <c r="G10" i="7"/>
  <c r="K9" i="7"/>
  <c r="D9" i="7" s="1"/>
  <c r="E9" i="7" s="1"/>
  <c r="G9" i="7"/>
  <c r="K8" i="7"/>
  <c r="D8" i="7" s="1"/>
  <c r="E8" i="7" s="1"/>
  <c r="E96" i="7" s="1"/>
  <c r="I8" i="7" l="1"/>
  <c r="K52" i="7"/>
  <c r="D52" i="7" s="1"/>
  <c r="E52" i="7" s="1"/>
  <c r="I52" i="7"/>
  <c r="G52" i="7"/>
  <c r="K51" i="7"/>
  <c r="D51" i="7" s="1"/>
  <c r="E51" i="7" s="1"/>
  <c r="I51" i="7"/>
  <c r="G51" i="7"/>
  <c r="K56" i="7" l="1"/>
  <c r="D56" i="7" s="1"/>
  <c r="E56" i="7" s="1"/>
  <c r="I56" i="7"/>
  <c r="G56" i="7"/>
  <c r="K15" i="7" l="1"/>
  <c r="D15" i="7" s="1"/>
  <c r="E15" i="7" s="1"/>
  <c r="I15" i="7"/>
  <c r="G15" i="7"/>
  <c r="K14" i="7"/>
  <c r="D14" i="7" s="1"/>
  <c r="E14" i="7" s="1"/>
  <c r="I14" i="7"/>
  <c r="G14" i="7"/>
  <c r="I13" i="7"/>
  <c r="G13" i="7"/>
  <c r="K13" i="7"/>
  <c r="D13" i="7" s="1"/>
  <c r="E13" i="7" s="1"/>
  <c r="K12" i="7"/>
  <c r="D12" i="7" s="1"/>
  <c r="E12" i="7" s="1"/>
  <c r="I12" i="7"/>
  <c r="G12" i="7"/>
  <c r="K11" i="7"/>
  <c r="D11" i="7" s="1"/>
  <c r="E11" i="7" s="1"/>
  <c r="I11" i="7"/>
  <c r="G11" i="7"/>
  <c r="K6" i="7"/>
  <c r="D6" i="7" s="1"/>
  <c r="E6" i="7" s="1"/>
  <c r="I6" i="7"/>
  <c r="G6" i="7"/>
  <c r="K26" i="7"/>
  <c r="D26" i="7" s="1"/>
  <c r="E26" i="7" s="1"/>
  <c r="I26" i="7"/>
  <c r="G26" i="7"/>
  <c r="K50" i="7" l="1"/>
  <c r="D50" i="7" s="1"/>
  <c r="E50" i="7" s="1"/>
  <c r="I50" i="7"/>
  <c r="G50" i="7"/>
  <c r="K47" i="7"/>
  <c r="D47" i="7" s="1"/>
  <c r="E47" i="7" s="1"/>
  <c r="I47" i="7"/>
  <c r="G47" i="7"/>
  <c r="K46" i="7"/>
  <c r="D46" i="7" s="1"/>
  <c r="E46" i="7" s="1"/>
  <c r="I46" i="7"/>
  <c r="G46" i="7"/>
  <c r="K25" i="7" l="1"/>
  <c r="D25" i="7" s="1"/>
  <c r="E25" i="7" s="1"/>
  <c r="I25" i="7"/>
  <c r="G25" i="7"/>
  <c r="K24" i="7"/>
  <c r="D24" i="7" s="1"/>
  <c r="E24" i="7" s="1"/>
  <c r="E98" i="7" s="1"/>
  <c r="I24" i="7"/>
  <c r="G24" i="7"/>
  <c r="K36" i="7" l="1"/>
  <c r="D36" i="7" s="1"/>
  <c r="E36" i="7" s="1"/>
  <c r="I36" i="7"/>
  <c r="G36" i="7"/>
  <c r="K40" i="7"/>
  <c r="D40" i="7" s="1"/>
  <c r="E40" i="7" s="1"/>
  <c r="I40" i="7"/>
  <c r="G40" i="7"/>
  <c r="K39" i="7"/>
  <c r="D39" i="7" s="1"/>
  <c r="E39" i="7" s="1"/>
  <c r="I39" i="7"/>
  <c r="G39" i="7"/>
  <c r="I62" i="7"/>
  <c r="I61" i="7"/>
  <c r="I153" i="7"/>
  <c r="I60" i="7"/>
  <c r="I59" i="7"/>
  <c r="I152" i="7"/>
  <c r="I57" i="7"/>
  <c r="I156" i="7"/>
  <c r="I54" i="7"/>
  <c r="G62" i="7"/>
  <c r="G61" i="7"/>
  <c r="G153" i="7"/>
  <c r="G60" i="7"/>
  <c r="G59" i="7"/>
  <c r="G152" i="7"/>
  <c r="G57" i="7"/>
  <c r="G156" i="7"/>
  <c r="G54" i="7"/>
  <c r="I49" i="7"/>
  <c r="I44" i="7"/>
  <c r="I43" i="7"/>
  <c r="I42" i="7"/>
  <c r="I154" i="7"/>
  <c r="I38" i="7"/>
  <c r="I35" i="7"/>
  <c r="I34" i="7"/>
  <c r="I155" i="7"/>
  <c r="I33" i="7"/>
  <c r="I32" i="7"/>
  <c r="I31" i="7"/>
  <c r="I30" i="7"/>
  <c r="I29" i="7"/>
  <c r="I28" i="7"/>
  <c r="I23" i="7"/>
  <c r="I22" i="7"/>
  <c r="I21" i="7"/>
  <c r="I20" i="7"/>
  <c r="I16" i="7"/>
  <c r="I3" i="7"/>
  <c r="K16" i="7"/>
  <c r="D16" i="7" s="1"/>
  <c r="E16" i="7" s="1"/>
  <c r="E97" i="7" s="1"/>
  <c r="G16" i="7"/>
  <c r="K20" i="7"/>
  <c r="D20" i="7" s="1"/>
  <c r="E20" i="7" s="1"/>
  <c r="G20" i="7"/>
  <c r="K23" i="7"/>
  <c r="D23" i="7" s="1"/>
  <c r="E23" i="7" s="1"/>
  <c r="G23" i="7"/>
  <c r="K22" i="7"/>
  <c r="D22" i="7" s="1"/>
  <c r="E22" i="7" s="1"/>
  <c r="G22" i="7"/>
  <c r="K21" i="7"/>
  <c r="D21" i="7" s="1"/>
  <c r="E21" i="7" s="1"/>
  <c r="G21" i="7"/>
  <c r="G3" i="7"/>
  <c r="G49" i="7"/>
  <c r="G44" i="7"/>
  <c r="G43" i="7"/>
  <c r="G42" i="7"/>
  <c r="G154" i="7"/>
  <c r="G38" i="7"/>
  <c r="G35" i="7"/>
  <c r="G34" i="7"/>
  <c r="G155" i="7"/>
  <c r="G33" i="7"/>
  <c r="G32" i="7"/>
  <c r="G31" i="7"/>
  <c r="G30" i="7"/>
  <c r="G29" i="7"/>
  <c r="G28" i="7"/>
  <c r="I94" i="7" l="1"/>
  <c r="G96" i="7"/>
  <c r="G97" i="7"/>
  <c r="G98" i="7"/>
  <c r="G99" i="7"/>
  <c r="G100" i="7"/>
  <c r="G95" i="7"/>
  <c r="G94" i="7"/>
  <c r="D3" i="7"/>
  <c r="E99" i="7" s="1"/>
  <c r="G91" i="7"/>
  <c r="I91" i="7"/>
  <c r="K118" i="7"/>
  <c r="D118" i="7" s="1"/>
  <c r="E118" i="7" s="1"/>
  <c r="G118" i="7"/>
  <c r="K117" i="7"/>
  <c r="D117" i="7" s="1"/>
  <c r="E117" i="7" s="1"/>
  <c r="G117" i="7"/>
  <c r="K116" i="7"/>
  <c r="D116" i="7" s="1"/>
  <c r="E116" i="7" s="1"/>
  <c r="G116" i="7"/>
  <c r="K115" i="7"/>
  <c r="D115" i="7" s="1"/>
  <c r="E115" i="7" s="1"/>
  <c r="G115" i="7"/>
  <c r="K114" i="7"/>
  <c r="D114" i="7" s="1"/>
  <c r="E114" i="7" s="1"/>
  <c r="G114" i="7"/>
  <c r="K113" i="7"/>
  <c r="D113" i="7" s="1"/>
  <c r="E113" i="7" s="1"/>
  <c r="G113" i="7"/>
  <c r="K112" i="7"/>
  <c r="D112" i="7" s="1"/>
  <c r="E112" i="7" s="1"/>
  <c r="G112" i="7"/>
  <c r="K111" i="7"/>
  <c r="D111" i="7" s="1"/>
  <c r="E111" i="7" s="1"/>
  <c r="G111" i="7"/>
  <c r="K110" i="7"/>
  <c r="D110" i="7" s="1"/>
  <c r="E110" i="7" s="1"/>
  <c r="G110" i="7"/>
  <c r="K109" i="7"/>
  <c r="D109" i="7" s="1"/>
  <c r="E109" i="7" s="1"/>
  <c r="G109" i="7"/>
  <c r="K108" i="7"/>
  <c r="D108" i="7" s="1"/>
  <c r="E108" i="7" s="1"/>
  <c r="G108" i="7"/>
  <c r="K107" i="7"/>
  <c r="D107" i="7" s="1"/>
  <c r="E107" i="7" s="1"/>
  <c r="G107" i="7"/>
  <c r="K106" i="7"/>
  <c r="D106" i="7" s="1"/>
  <c r="E106" i="7" s="1"/>
  <c r="G106" i="7"/>
  <c r="K105" i="7"/>
  <c r="D105" i="7" s="1"/>
  <c r="E105" i="7" s="1"/>
  <c r="G105" i="7"/>
  <c r="K104" i="7"/>
  <c r="D104" i="7" s="1"/>
  <c r="E104" i="7" s="1"/>
  <c r="G104" i="7"/>
  <c r="K90" i="7"/>
  <c r="D90" i="7" s="1"/>
  <c r="E90" i="7" s="1"/>
  <c r="K89" i="7"/>
  <c r="D89" i="7" s="1"/>
  <c r="E89" i="7" s="1"/>
  <c r="K88" i="7"/>
  <c r="D88" i="7" s="1"/>
  <c r="E88" i="7" s="1"/>
  <c r="K87" i="7"/>
  <c r="D87" i="7" s="1"/>
  <c r="E87" i="7" s="1"/>
  <c r="K86" i="7"/>
  <c r="D86" i="7" s="1"/>
  <c r="E86" i="7" s="1"/>
  <c r="K85" i="7"/>
  <c r="D85" i="7" s="1"/>
  <c r="E85" i="7" s="1"/>
  <c r="K84" i="7"/>
  <c r="D84" i="7" s="1"/>
  <c r="E84" i="7" s="1"/>
  <c r="K83" i="7"/>
  <c r="D83" i="7" s="1"/>
  <c r="E83" i="7" s="1"/>
  <c r="K82" i="7"/>
  <c r="D82" i="7" s="1"/>
  <c r="E82" i="7" s="1"/>
  <c r="K81" i="7"/>
  <c r="D81" i="7" s="1"/>
  <c r="E81" i="7" s="1"/>
  <c r="K80" i="7"/>
  <c r="D80" i="7" s="1"/>
  <c r="E80" i="7" s="1"/>
  <c r="K79" i="7"/>
  <c r="D79" i="7" s="1"/>
  <c r="E79" i="7" s="1"/>
  <c r="K78" i="7"/>
  <c r="D78" i="7" s="1"/>
  <c r="E78" i="7" s="1"/>
  <c r="K77" i="7"/>
  <c r="D77" i="7" s="1"/>
  <c r="E77" i="7" s="1"/>
  <c r="K76" i="7"/>
  <c r="D76" i="7" s="1"/>
  <c r="E76" i="7" s="1"/>
  <c r="E100" i="7" s="1"/>
  <c r="K75" i="7"/>
  <c r="E75" i="7" s="1"/>
  <c r="K74" i="7"/>
  <c r="E74" i="7"/>
  <c r="K73" i="7"/>
  <c r="E73" i="7" s="1"/>
  <c r="K72" i="7"/>
  <c r="E72" i="7" s="1"/>
  <c r="K71" i="7"/>
  <c r="E71" i="7"/>
  <c r="K70" i="7"/>
  <c r="E70" i="7" s="1"/>
  <c r="K69" i="7"/>
  <c r="E69" i="7" s="1"/>
  <c r="K68" i="7"/>
  <c r="D68" i="7" s="1"/>
  <c r="E68" i="7" s="1"/>
  <c r="K67" i="7"/>
  <c r="D67" i="7" s="1"/>
  <c r="E67" i="7" s="1"/>
  <c r="K62" i="7"/>
  <c r="D62" i="7" s="1"/>
  <c r="E62" i="7" s="1"/>
  <c r="K61" i="7"/>
  <c r="D61" i="7" s="1"/>
  <c r="E61" i="7" s="1"/>
  <c r="K153" i="7"/>
  <c r="D153" i="7" s="1"/>
  <c r="E153" i="7" s="1"/>
  <c r="K151" i="7"/>
  <c r="D151" i="7" s="1"/>
  <c r="E151" i="7" s="1"/>
  <c r="G151" i="7"/>
  <c r="K60" i="7"/>
  <c r="D60" i="7" s="1"/>
  <c r="E60" i="7" s="1"/>
  <c r="K59" i="7"/>
  <c r="D59" i="7" s="1"/>
  <c r="E59" i="7" s="1"/>
  <c r="K152" i="7"/>
  <c r="D152" i="7" s="1"/>
  <c r="E152" i="7" s="1"/>
  <c r="K57" i="7"/>
  <c r="K156" i="7"/>
  <c r="E156" i="7" s="1"/>
  <c r="K54" i="7"/>
  <c r="D54" i="7" s="1"/>
  <c r="E54" i="7" s="1"/>
  <c r="K150" i="7"/>
  <c r="D150" i="7" s="1"/>
  <c r="E150" i="7" s="1"/>
  <c r="G150" i="7"/>
  <c r="K149" i="7"/>
  <c r="D149" i="7" s="1"/>
  <c r="E149" i="7" s="1"/>
  <c r="G149" i="7"/>
  <c r="K148" i="7"/>
  <c r="D148" i="7" s="1"/>
  <c r="E148" i="7" s="1"/>
  <c r="G148" i="7"/>
  <c r="K147" i="7"/>
  <c r="D147" i="7" s="1"/>
  <c r="E147" i="7" s="1"/>
  <c r="G147" i="7"/>
  <c r="K146" i="7"/>
  <c r="D146" i="7" s="1"/>
  <c r="E146" i="7" s="1"/>
  <c r="G146" i="7"/>
  <c r="K145" i="7"/>
  <c r="D145" i="7" s="1"/>
  <c r="E145" i="7" s="1"/>
  <c r="G145" i="7"/>
  <c r="K49" i="7"/>
  <c r="D49" i="7" s="1"/>
  <c r="E49" i="7" s="1"/>
  <c r="K144" i="7"/>
  <c r="D144" i="7" s="1"/>
  <c r="E144" i="7" s="1"/>
  <c r="G144" i="7"/>
  <c r="K44" i="7"/>
  <c r="D44" i="7" s="1"/>
  <c r="E44" i="7" s="1"/>
  <c r="K43" i="7"/>
  <c r="D43" i="7" s="1"/>
  <c r="E43" i="7" s="1"/>
  <c r="K42" i="7"/>
  <c r="D42" i="7" s="1"/>
  <c r="E42" i="7" s="1"/>
  <c r="K154" i="7"/>
  <c r="D154" i="7" s="1"/>
  <c r="E154" i="7" s="1"/>
  <c r="K38" i="7"/>
  <c r="D38" i="7" s="1"/>
  <c r="E38" i="7" s="1"/>
  <c r="K35" i="7"/>
  <c r="D35" i="7" s="1"/>
  <c r="E35" i="7" s="1"/>
  <c r="K34" i="7"/>
  <c r="D34" i="7" s="1"/>
  <c r="E34" i="7" s="1"/>
  <c r="K155" i="7"/>
  <c r="D155" i="7" s="1"/>
  <c r="E155" i="7" s="1"/>
  <c r="K33" i="7"/>
  <c r="D33" i="7" s="1"/>
  <c r="E33" i="7" s="1"/>
  <c r="K32" i="7"/>
  <c r="D32" i="7" s="1"/>
  <c r="E32" i="7" s="1"/>
  <c r="K31" i="7"/>
  <c r="D31" i="7" s="1"/>
  <c r="E31" i="7" s="1"/>
  <c r="K30" i="7"/>
  <c r="D30" i="7" s="1"/>
  <c r="E30" i="7" s="1"/>
  <c r="K29" i="7"/>
  <c r="D29" i="7" s="1"/>
  <c r="E29" i="7" s="1"/>
  <c r="K28" i="7"/>
  <c r="D28" i="7" s="1"/>
  <c r="E28" i="7" s="1"/>
  <c r="K143" i="7"/>
  <c r="D143" i="7" s="1"/>
  <c r="E143" i="7" s="1"/>
  <c r="G143" i="7"/>
  <c r="K142" i="7"/>
  <c r="D142" i="7" s="1"/>
  <c r="E142" i="7" s="1"/>
  <c r="G142" i="7"/>
  <c r="K141" i="7"/>
  <c r="D141" i="7" s="1"/>
  <c r="E141" i="7" s="1"/>
  <c r="G141" i="7"/>
  <c r="K140" i="7"/>
  <c r="D140" i="7" s="1"/>
  <c r="E140" i="7" s="1"/>
  <c r="G140" i="7"/>
  <c r="K139" i="7"/>
  <c r="D139" i="7" s="1"/>
  <c r="E139" i="7" s="1"/>
  <c r="G139" i="7"/>
  <c r="K138" i="7"/>
  <c r="D138" i="7" s="1"/>
  <c r="E138" i="7" s="1"/>
  <c r="G138" i="7"/>
  <c r="K137" i="7"/>
  <c r="D137" i="7" s="1"/>
  <c r="E137" i="7" s="1"/>
  <c r="G137" i="7"/>
  <c r="K136" i="7"/>
  <c r="D136" i="7" s="1"/>
  <c r="E136" i="7" s="1"/>
  <c r="G136" i="7"/>
  <c r="K135" i="7"/>
  <c r="D135" i="7" s="1"/>
  <c r="E135" i="7" s="1"/>
  <c r="G135" i="7"/>
  <c r="K134" i="7"/>
  <c r="D134" i="7" s="1"/>
  <c r="E134" i="7" s="1"/>
  <c r="G134" i="7"/>
  <c r="O133" i="7"/>
  <c r="L133" i="7"/>
  <c r="K133" i="7" s="1"/>
  <c r="D133" i="7" s="1"/>
  <c r="E133" i="7" s="1"/>
  <c r="G133" i="7"/>
  <c r="L132" i="7"/>
  <c r="G132" i="7"/>
  <c r="K131" i="7"/>
  <c r="D131" i="7" s="1"/>
  <c r="E131" i="7" s="1"/>
  <c r="G131" i="7"/>
  <c r="K130" i="7"/>
  <c r="D130" i="7" s="1"/>
  <c r="E130" i="7" s="1"/>
  <c r="G130" i="7"/>
  <c r="K129" i="7"/>
  <c r="D129" i="7" s="1"/>
  <c r="E129" i="7" s="1"/>
  <c r="G129" i="7"/>
  <c r="K128" i="7"/>
  <c r="D128" i="7" s="1"/>
  <c r="E128" i="7" s="1"/>
  <c r="G128" i="7"/>
  <c r="K127" i="7"/>
  <c r="D127" i="7" s="1"/>
  <c r="E127" i="7" s="1"/>
  <c r="G127" i="7"/>
  <c r="K126" i="7"/>
  <c r="D126" i="7" s="1"/>
  <c r="E126" i="7" s="1"/>
  <c r="G126" i="7"/>
  <c r="K125" i="7"/>
  <c r="D125" i="7" s="1"/>
  <c r="E125" i="7" s="1"/>
  <c r="G125" i="7"/>
  <c r="K124" i="7"/>
  <c r="D124" i="7" s="1"/>
  <c r="E124" i="7" s="1"/>
  <c r="G124" i="7"/>
  <c r="K123" i="7"/>
  <c r="D123" i="7" s="1"/>
  <c r="E123" i="7" s="1"/>
  <c r="G123" i="7"/>
  <c r="K122" i="7"/>
  <c r="D122" i="7" s="1"/>
  <c r="E122" i="7" s="1"/>
  <c r="G122" i="7"/>
  <c r="K121" i="7"/>
  <c r="D121" i="7" s="1"/>
  <c r="G121" i="7"/>
  <c r="C121" i="7"/>
  <c r="K120" i="7"/>
  <c r="D120" i="7" s="1"/>
  <c r="G120" i="7"/>
  <c r="C120" i="7"/>
  <c r="K119" i="7"/>
  <c r="D119" i="7" s="1"/>
  <c r="G119" i="7"/>
  <c r="C119" i="7"/>
  <c r="D57" i="7" l="1"/>
  <c r="E57" i="7" s="1"/>
  <c r="H97" i="7"/>
  <c r="J97" i="7"/>
  <c r="H94" i="7"/>
  <c r="J96" i="7"/>
  <c r="H95" i="7"/>
  <c r="J94" i="7"/>
  <c r="H96" i="7"/>
  <c r="H100" i="7"/>
  <c r="J95" i="7"/>
  <c r="J100" i="7"/>
  <c r="H99" i="7"/>
  <c r="H98" i="7"/>
  <c r="J99" i="7"/>
  <c r="J98" i="7"/>
  <c r="E94" i="7"/>
  <c r="E120" i="7"/>
  <c r="E119" i="7"/>
  <c r="E121" i="7"/>
  <c r="K132" i="7"/>
  <c r="D132" i="7" s="1"/>
  <c r="E132" i="7" s="1"/>
  <c r="L92" i="7"/>
  <c r="E95" i="7" l="1"/>
  <c r="E91" i="7"/>
  <c r="K86" i="1"/>
  <c r="D86" i="1" s="1"/>
  <c r="E86" i="1" s="1"/>
  <c r="K87" i="1" l="1"/>
  <c r="D87" i="1" s="1"/>
  <c r="E87" i="1" s="1"/>
  <c r="K85" i="1"/>
  <c r="D85" i="1" s="1"/>
  <c r="E85" i="1" s="1"/>
  <c r="K84" i="1"/>
  <c r="D84" i="1" s="1"/>
  <c r="E84" i="1" s="1"/>
  <c r="K83" i="1"/>
  <c r="D83" i="1" s="1"/>
  <c r="E83" i="1" s="1"/>
  <c r="K82" i="1"/>
  <c r="D82" i="1" s="1"/>
  <c r="E82" i="1" s="1"/>
  <c r="L20" i="1" l="1"/>
  <c r="L19" i="1"/>
  <c r="G71" i="1" l="1"/>
  <c r="K71" i="1"/>
  <c r="I71" i="1"/>
  <c r="H71" i="1"/>
  <c r="F71" i="1"/>
  <c r="D71" i="1"/>
  <c r="E71" i="1" s="1"/>
  <c r="H45" i="1"/>
  <c r="G36" i="1"/>
  <c r="F36" i="1"/>
  <c r="K36" i="1"/>
  <c r="D36" i="1" s="1"/>
  <c r="E36" i="1" s="1"/>
  <c r="I36" i="1"/>
  <c r="H36" i="1"/>
  <c r="H3" i="1"/>
  <c r="G5" i="1"/>
  <c r="F5" i="1"/>
  <c r="K5" i="1"/>
  <c r="D5" i="1" s="1"/>
  <c r="I5" i="1"/>
  <c r="H5" i="1"/>
  <c r="C5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75" i="1"/>
  <c r="H74" i="1"/>
  <c r="H73" i="1"/>
  <c r="H70" i="1"/>
  <c r="H69" i="1"/>
  <c r="H68" i="1"/>
  <c r="H67" i="1"/>
  <c r="H66" i="1"/>
  <c r="H64" i="1"/>
  <c r="H62" i="1"/>
  <c r="H60" i="1"/>
  <c r="H59" i="1"/>
  <c r="H58" i="1"/>
  <c r="H56" i="1"/>
  <c r="H54" i="1"/>
  <c r="H53" i="1"/>
  <c r="H52" i="1"/>
  <c r="H50" i="1"/>
  <c r="H49" i="1"/>
  <c r="H48" i="1"/>
  <c r="H46" i="1"/>
  <c r="H43" i="1"/>
  <c r="H42" i="1"/>
  <c r="H41" i="1"/>
  <c r="H40" i="1"/>
  <c r="H39" i="1"/>
  <c r="H38" i="1"/>
  <c r="H37" i="1"/>
  <c r="H35" i="1"/>
  <c r="H33" i="1"/>
  <c r="H32" i="1"/>
  <c r="H31" i="1"/>
  <c r="H29" i="1"/>
  <c r="H27" i="1"/>
  <c r="H26" i="1"/>
  <c r="H25" i="1"/>
  <c r="H24" i="1"/>
  <c r="H23" i="1"/>
  <c r="H22" i="1"/>
  <c r="H20" i="1"/>
  <c r="H19" i="1"/>
  <c r="H18" i="1"/>
  <c r="H17" i="1"/>
  <c r="H16" i="1"/>
  <c r="H15" i="1"/>
  <c r="H13" i="1"/>
  <c r="H12" i="1"/>
  <c r="H10" i="1"/>
  <c r="H9" i="1"/>
  <c r="H8" i="1"/>
  <c r="H7" i="1"/>
  <c r="H4" i="1"/>
  <c r="E5" i="1" l="1"/>
  <c r="G75" i="1"/>
  <c r="G74" i="1"/>
  <c r="G40" i="1"/>
  <c r="G42" i="1"/>
  <c r="F46" i="1"/>
  <c r="K46" i="1"/>
  <c r="D46" i="1" s="1"/>
  <c r="E46" i="1" s="1"/>
  <c r="I46" i="1"/>
  <c r="G46" i="1"/>
  <c r="K70" i="1"/>
  <c r="D70" i="1" s="1"/>
  <c r="E70" i="1" s="1"/>
  <c r="I70" i="1"/>
  <c r="G70" i="1"/>
  <c r="F70" i="1"/>
  <c r="K69" i="1"/>
  <c r="I69" i="1"/>
  <c r="G69" i="1"/>
  <c r="F69" i="1"/>
  <c r="D69" i="1"/>
  <c r="E69" i="1" s="1"/>
  <c r="I68" i="1"/>
  <c r="F68" i="1"/>
  <c r="K68" i="1"/>
  <c r="D68" i="1" s="1"/>
  <c r="G68" i="1"/>
  <c r="F41" i="1"/>
  <c r="K41" i="1"/>
  <c r="D41" i="1" s="1"/>
  <c r="E41" i="1" s="1"/>
  <c r="I41" i="1"/>
  <c r="G41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73" i="1"/>
  <c r="G67" i="1"/>
  <c r="G66" i="1"/>
  <c r="G64" i="1"/>
  <c r="G62" i="1"/>
  <c r="G60" i="1"/>
  <c r="G59" i="1"/>
  <c r="G58" i="1"/>
  <c r="G56" i="1"/>
  <c r="G54" i="1"/>
  <c r="G53" i="1"/>
  <c r="G52" i="1"/>
  <c r="G50" i="1"/>
  <c r="G49" i="1"/>
  <c r="G48" i="1"/>
  <c r="G45" i="1"/>
  <c r="G43" i="1"/>
  <c r="G39" i="1"/>
  <c r="G38" i="1"/>
  <c r="G37" i="1"/>
  <c r="G35" i="1"/>
  <c r="G33" i="1"/>
  <c r="G32" i="1"/>
  <c r="G31" i="1"/>
  <c r="G29" i="1"/>
  <c r="G27" i="1"/>
  <c r="G26" i="1"/>
  <c r="G25" i="1"/>
  <c r="G24" i="1"/>
  <c r="G23" i="1"/>
  <c r="G22" i="1"/>
  <c r="G20" i="1"/>
  <c r="G19" i="1"/>
  <c r="G18" i="1"/>
  <c r="G17" i="1"/>
  <c r="G16" i="1"/>
  <c r="G15" i="1"/>
  <c r="G13" i="1"/>
  <c r="G12" i="1"/>
  <c r="G10" i="1"/>
  <c r="G9" i="1"/>
  <c r="G8" i="1"/>
  <c r="G7" i="1"/>
  <c r="G4" i="1"/>
  <c r="G3" i="1"/>
  <c r="E68" i="1" l="1"/>
  <c r="I121" i="1"/>
  <c r="I56" i="1"/>
  <c r="I64" i="1"/>
  <c r="I119" i="1"/>
  <c r="I118" i="1"/>
  <c r="I62" i="1"/>
  <c r="F112" i="1"/>
  <c r="F15" i="1"/>
  <c r="K4" i="1"/>
  <c r="D4" i="1" s="1"/>
  <c r="K7" i="1"/>
  <c r="D7" i="1" s="1"/>
  <c r="K8" i="1"/>
  <c r="D8" i="1" s="1"/>
  <c r="K9" i="1"/>
  <c r="D9" i="1" s="1"/>
  <c r="K10" i="1"/>
  <c r="D10" i="1" s="1"/>
  <c r="K12" i="1"/>
  <c r="D12" i="1" s="1"/>
  <c r="K15" i="1"/>
  <c r="D15" i="1" s="1"/>
  <c r="K16" i="1"/>
  <c r="D16" i="1" s="1"/>
  <c r="K17" i="1"/>
  <c r="D17" i="1" s="1"/>
  <c r="K122" i="1"/>
  <c r="D122" i="1" s="1"/>
  <c r="K18" i="1"/>
  <c r="D18" i="1" s="1"/>
  <c r="K19" i="1"/>
  <c r="D19" i="1" s="1"/>
  <c r="K124" i="1"/>
  <c r="D124" i="1" s="1"/>
  <c r="K123" i="1"/>
  <c r="D123" i="1" s="1"/>
  <c r="K25" i="1"/>
  <c r="D25" i="1" s="1"/>
  <c r="K39" i="1"/>
  <c r="D39" i="1" s="1"/>
  <c r="K43" i="1"/>
  <c r="D43" i="1" s="1"/>
  <c r="K31" i="1"/>
  <c r="D31" i="1" s="1"/>
  <c r="K32" i="1"/>
  <c r="D32" i="1" s="1"/>
  <c r="K33" i="1"/>
  <c r="D33" i="1" s="1"/>
  <c r="K48" i="1"/>
  <c r="D48" i="1" s="1"/>
  <c r="K49" i="1"/>
  <c r="D49" i="1" s="1"/>
  <c r="K111" i="1"/>
  <c r="D111" i="1" s="1"/>
  <c r="K50" i="1"/>
  <c r="D50" i="1" s="1"/>
  <c r="K112" i="1"/>
  <c r="D112" i="1" s="1"/>
  <c r="K113" i="1"/>
  <c r="D113" i="1" s="1"/>
  <c r="K53" i="1"/>
  <c r="D53" i="1" s="1"/>
  <c r="K125" i="1"/>
  <c r="D125" i="1" s="1"/>
  <c r="K114" i="1"/>
  <c r="D114" i="1" s="1"/>
  <c r="K115" i="1"/>
  <c r="D115" i="1" s="1"/>
  <c r="K56" i="1"/>
  <c r="D56" i="1" s="1"/>
  <c r="K58" i="1"/>
  <c r="D58" i="1" s="1"/>
  <c r="K59" i="1"/>
  <c r="D59" i="1" s="1"/>
  <c r="K60" i="1"/>
  <c r="D60" i="1" s="1"/>
  <c r="K116" i="1"/>
  <c r="D116" i="1" s="1"/>
  <c r="K117" i="1"/>
  <c r="D117" i="1" s="1"/>
  <c r="K118" i="1"/>
  <c r="D118" i="1" s="1"/>
  <c r="K52" i="1"/>
  <c r="D52" i="1" s="1"/>
  <c r="K62" i="1"/>
  <c r="D62" i="1" s="1"/>
  <c r="K54" i="1"/>
  <c r="D54" i="1" s="1"/>
  <c r="K119" i="1"/>
  <c r="D119" i="1" s="1"/>
  <c r="K64" i="1"/>
  <c r="D64" i="1" s="1"/>
  <c r="K120" i="1"/>
  <c r="D120" i="1" s="1"/>
  <c r="K66" i="1"/>
  <c r="D66" i="1" s="1"/>
  <c r="K29" i="1"/>
  <c r="D29" i="1" s="1"/>
  <c r="K22" i="1"/>
  <c r="D22" i="1" s="1"/>
  <c r="K23" i="1"/>
  <c r="D23" i="1" s="1"/>
  <c r="K26" i="1"/>
  <c r="D26" i="1" s="1"/>
  <c r="K27" i="1"/>
  <c r="D27" i="1" s="1"/>
  <c r="K24" i="1"/>
  <c r="D24" i="1" s="1"/>
  <c r="K45" i="1"/>
  <c r="D45" i="1" s="1"/>
  <c r="K35" i="1"/>
  <c r="D35" i="1" s="1"/>
  <c r="K37" i="1"/>
  <c r="D37" i="1" s="1"/>
  <c r="K40" i="1"/>
  <c r="D40" i="1" s="1"/>
  <c r="K42" i="1"/>
  <c r="D42" i="1" s="1"/>
  <c r="K38" i="1"/>
  <c r="D38" i="1" s="1"/>
  <c r="K67" i="1"/>
  <c r="D67" i="1" s="1"/>
  <c r="K73" i="1"/>
  <c r="D73" i="1" s="1"/>
  <c r="K74" i="1"/>
  <c r="D74" i="1" s="1"/>
  <c r="K75" i="1"/>
  <c r="D75" i="1" s="1"/>
  <c r="K13" i="1"/>
  <c r="D13" i="1" s="1"/>
  <c r="K121" i="1"/>
  <c r="D121" i="1" s="1"/>
  <c r="K79" i="1"/>
  <c r="D79" i="1" s="1"/>
  <c r="K80" i="1"/>
  <c r="D80" i="1" s="1"/>
  <c r="K81" i="1"/>
  <c r="D81" i="1" s="1"/>
  <c r="K88" i="1"/>
  <c r="D88" i="1" s="1"/>
  <c r="K89" i="1"/>
  <c r="D89" i="1" s="1"/>
  <c r="K90" i="1"/>
  <c r="D90" i="1" s="1"/>
  <c r="K91" i="1"/>
  <c r="D91" i="1" s="1"/>
  <c r="K92" i="1"/>
  <c r="D92" i="1" s="1"/>
  <c r="K93" i="1"/>
  <c r="D93" i="1" s="1"/>
  <c r="K94" i="1"/>
  <c r="D94" i="1" s="1"/>
  <c r="K95" i="1"/>
  <c r="D95" i="1" s="1"/>
  <c r="K96" i="1"/>
  <c r="D96" i="1" s="1"/>
  <c r="K97" i="1"/>
  <c r="D97" i="1" s="1"/>
  <c r="K98" i="1"/>
  <c r="D98" i="1" s="1"/>
  <c r="K99" i="1"/>
  <c r="D99" i="1" s="1"/>
  <c r="K100" i="1"/>
  <c r="D100" i="1" s="1"/>
  <c r="K101" i="1"/>
  <c r="D101" i="1" s="1"/>
  <c r="K102" i="1"/>
  <c r="D102" i="1" s="1"/>
  <c r="K3" i="1"/>
  <c r="D3" i="1" s="1"/>
  <c r="F115" i="1" l="1"/>
  <c r="E56" i="1"/>
  <c r="F56" i="1"/>
  <c r="F117" i="1"/>
  <c r="E62" i="1"/>
  <c r="F62" i="1"/>
  <c r="F64" i="1"/>
  <c r="F119" i="1"/>
  <c r="F43" i="1"/>
  <c r="E96" i="1"/>
  <c r="G26" i="2" l="1"/>
  <c r="B6" i="2"/>
  <c r="B8" i="2" s="1"/>
  <c r="K20" i="1"/>
  <c r="D20" i="1" s="1"/>
  <c r="B10" i="2" l="1"/>
  <c r="B11" i="2"/>
  <c r="F111" i="1"/>
  <c r="E50" i="1"/>
  <c r="I50" i="1"/>
  <c r="F50" i="1"/>
  <c r="C20" i="2" l="1"/>
  <c r="C24" i="2"/>
  <c r="C16" i="2"/>
  <c r="E91" i="1" l="1"/>
  <c r="E95" i="1"/>
  <c r="I120" i="1" l="1"/>
  <c r="F120" i="1"/>
  <c r="E120" i="1"/>
  <c r="E64" i="1"/>
  <c r="E75" i="1" l="1"/>
  <c r="I75" i="1"/>
  <c r="F75" i="1"/>
  <c r="F73" i="1"/>
  <c r="F40" i="1"/>
  <c r="F39" i="1"/>
  <c r="K136" i="1"/>
  <c r="K132" i="1"/>
  <c r="K133" i="1" s="1"/>
  <c r="K134" i="1" s="1"/>
  <c r="F121" i="1"/>
  <c r="E43" i="1" l="1"/>
  <c r="I43" i="1"/>
  <c r="E90" i="1" l="1"/>
  <c r="E94" i="1"/>
  <c r="E93" i="1"/>
  <c r="E92" i="1"/>
  <c r="I38" i="1" l="1"/>
  <c r="I42" i="1"/>
  <c r="I40" i="1"/>
  <c r="I37" i="1"/>
  <c r="I35" i="1"/>
  <c r="I45" i="1"/>
  <c r="F24" i="1"/>
  <c r="F27" i="1"/>
  <c r="F26" i="1"/>
  <c r="F23" i="1"/>
  <c r="F22" i="1"/>
  <c r="F29" i="1"/>
  <c r="F38" i="1"/>
  <c r="F42" i="1"/>
  <c r="F37" i="1"/>
  <c r="F35" i="1"/>
  <c r="F45" i="1"/>
  <c r="F33" i="1"/>
  <c r="F32" i="1"/>
  <c r="F31" i="1"/>
  <c r="I111" i="1"/>
  <c r="I49" i="1"/>
  <c r="I48" i="1"/>
  <c r="F49" i="1"/>
  <c r="F48" i="1"/>
  <c r="F25" i="1"/>
  <c r="I39" i="1"/>
  <c r="E39" i="1"/>
  <c r="O20" i="1"/>
  <c r="I25" i="1"/>
  <c r="E25" i="1"/>
  <c r="I123" i="1"/>
  <c r="F123" i="1"/>
  <c r="E49" i="1" l="1"/>
  <c r="E48" i="1"/>
  <c r="E111" i="1"/>
  <c r="E38" i="1"/>
  <c r="E42" i="1"/>
  <c r="E40" i="1"/>
  <c r="E37" i="1"/>
  <c r="E35" i="1"/>
  <c r="E45" i="1"/>
  <c r="E99" i="1" l="1"/>
  <c r="E101" i="1"/>
  <c r="E119" i="1" l="1"/>
  <c r="I59" i="1" l="1"/>
  <c r="F59" i="1"/>
  <c r="C4" i="1"/>
  <c r="F54" i="1"/>
  <c r="F118" i="1"/>
  <c r="I117" i="1"/>
  <c r="I125" i="1"/>
  <c r="I53" i="1"/>
  <c r="F53" i="1"/>
  <c r="I54" i="1"/>
  <c r="F52" i="1"/>
  <c r="I52" i="1"/>
  <c r="E118" i="1" l="1"/>
  <c r="E59" i="1"/>
  <c r="E52" i="1"/>
  <c r="E54" i="1"/>
  <c r="N7" i="2"/>
  <c r="N6" i="2"/>
  <c r="M5" i="2"/>
  <c r="R5" i="2" s="1"/>
  <c r="M4" i="2"/>
  <c r="R4" i="2" s="1"/>
  <c r="F60" i="1"/>
  <c r="I60" i="1"/>
  <c r="I58" i="1"/>
  <c r="F125" i="1"/>
  <c r="I4" i="1"/>
  <c r="F3" i="1"/>
  <c r="I13" i="1"/>
  <c r="F13" i="1"/>
  <c r="I74" i="1"/>
  <c r="F74" i="1"/>
  <c r="I73" i="1"/>
  <c r="I67" i="1"/>
  <c r="F67" i="1"/>
  <c r="I24" i="1"/>
  <c r="I27" i="1"/>
  <c r="I26" i="1"/>
  <c r="I23" i="1"/>
  <c r="I22" i="1"/>
  <c r="I29" i="1"/>
  <c r="I66" i="1"/>
  <c r="F66" i="1"/>
  <c r="I116" i="1"/>
  <c r="F116" i="1"/>
  <c r="F58" i="1"/>
  <c r="I115" i="1"/>
  <c r="I114" i="1"/>
  <c r="F114" i="1"/>
  <c r="I113" i="1"/>
  <c r="F113" i="1"/>
  <c r="I112" i="1"/>
  <c r="I33" i="1"/>
  <c r="I32" i="1"/>
  <c r="I31" i="1"/>
  <c r="I124" i="1"/>
  <c r="F124" i="1"/>
  <c r="I20" i="1"/>
  <c r="F20" i="1"/>
  <c r="I19" i="1"/>
  <c r="F19" i="1"/>
  <c r="I18" i="1"/>
  <c r="F18" i="1"/>
  <c r="I122" i="1"/>
  <c r="F122" i="1"/>
  <c r="I17" i="1"/>
  <c r="F17" i="1"/>
  <c r="I16" i="1"/>
  <c r="F16" i="1"/>
  <c r="I15" i="1"/>
  <c r="I12" i="1"/>
  <c r="F12" i="1"/>
  <c r="I10" i="1"/>
  <c r="F10" i="1"/>
  <c r="I9" i="1"/>
  <c r="F9" i="1"/>
  <c r="I8" i="1"/>
  <c r="F8" i="1"/>
  <c r="I7" i="1"/>
  <c r="I105" i="1" s="1"/>
  <c r="F7" i="1"/>
  <c r="F4" i="1"/>
  <c r="I3" i="1"/>
  <c r="C3" i="1"/>
  <c r="E138" i="1"/>
  <c r="F105" i="1" l="1"/>
  <c r="H105" i="1"/>
  <c r="G105" i="1"/>
  <c r="L104" i="1"/>
  <c r="E79" i="1"/>
  <c r="E60" i="1"/>
  <c r="E3" i="1"/>
  <c r="E4" i="1"/>
  <c r="E135" i="1"/>
  <c r="E133" i="1"/>
  <c r="E134" i="1" s="1"/>
  <c r="E136" i="1" l="1"/>
  <c r="E80" i="1" l="1"/>
  <c r="E117" i="1"/>
  <c r="E74" i="1"/>
  <c r="E115" i="1" l="1"/>
  <c r="E58" i="1"/>
  <c r="E121" i="1" l="1"/>
  <c r="E116" i="1"/>
  <c r="E13" i="1"/>
  <c r="H18" i="3"/>
  <c r="I18" i="3"/>
  <c r="J18" i="3"/>
  <c r="K18" i="3"/>
  <c r="L18" i="3"/>
  <c r="M18" i="3"/>
  <c r="N18" i="3"/>
  <c r="O18" i="3"/>
  <c r="H19" i="3"/>
  <c r="I19" i="3"/>
  <c r="J19" i="3"/>
  <c r="K19" i="3"/>
  <c r="L19" i="3"/>
  <c r="M19" i="3"/>
  <c r="N19" i="3"/>
  <c r="O19" i="3"/>
  <c r="N17" i="3"/>
  <c r="M17" i="3"/>
  <c r="J17" i="3"/>
  <c r="I17" i="3"/>
  <c r="L17" i="3"/>
  <c r="K17" i="3"/>
  <c r="O17" i="3"/>
  <c r="H17" i="3"/>
  <c r="K15" i="3" l="1"/>
  <c r="E1" i="3"/>
  <c r="K6" i="3" s="1"/>
  <c r="E81" i="1"/>
  <c r="E9" i="3" l="1"/>
  <c r="F9" i="3"/>
  <c r="F7" i="3"/>
  <c r="F15" i="3"/>
  <c r="F13" i="3"/>
  <c r="F11" i="3"/>
  <c r="F17" i="3"/>
  <c r="F19" i="3"/>
  <c r="F22" i="3"/>
  <c r="F24" i="3"/>
  <c r="F26" i="3"/>
  <c r="F28" i="3"/>
  <c r="L6" i="3"/>
  <c r="E7" i="3"/>
  <c r="E18" i="3"/>
  <c r="E27" i="3"/>
  <c r="K7" i="3"/>
  <c r="E13" i="3"/>
  <c r="E21" i="3"/>
  <c r="E25" i="3"/>
  <c r="E5" i="3"/>
  <c r="F8" i="3"/>
  <c r="F6" i="3"/>
  <c r="F14" i="3"/>
  <c r="F12" i="3"/>
  <c r="J1" i="3"/>
  <c r="F18" i="3"/>
  <c r="F21" i="3"/>
  <c r="F23" i="3"/>
  <c r="F25" i="3"/>
  <c r="F27" i="3"/>
  <c r="L5" i="3"/>
  <c r="L7" i="3"/>
  <c r="E15" i="3"/>
  <c r="E11" i="3"/>
  <c r="E23" i="3"/>
  <c r="K5" i="3"/>
  <c r="F5" i="3"/>
  <c r="E8" i="3"/>
  <c r="E6" i="3"/>
  <c r="E14" i="3"/>
  <c r="E12" i="3"/>
  <c r="E17" i="3"/>
  <c r="E19" i="3"/>
  <c r="E22" i="3"/>
  <c r="E24" i="3"/>
  <c r="E26" i="3"/>
  <c r="E28" i="3"/>
  <c r="E73" i="1"/>
  <c r="E67" i="1"/>
  <c r="E26" i="1"/>
  <c r="E24" i="1"/>
  <c r="E27" i="1"/>
  <c r="E23" i="1"/>
  <c r="E22" i="1"/>
  <c r="E29" i="1"/>
  <c r="E66" i="1"/>
  <c r="J12" i="2"/>
  <c r="J13" i="2" s="1"/>
  <c r="J11" i="2"/>
  <c r="J9" i="2"/>
  <c r="J10" i="2" s="1"/>
  <c r="J8" i="2"/>
  <c r="E7" i="1"/>
  <c r="E9" i="1"/>
  <c r="E12" i="1"/>
  <c r="E53" i="1"/>
  <c r="E97" i="1"/>
  <c r="E98" i="1"/>
  <c r="E100" i="1"/>
  <c r="E102" i="1"/>
  <c r="J14" i="2" l="1"/>
  <c r="K14" i="2" s="1"/>
  <c r="J15" i="2"/>
  <c r="K15" i="2" s="1"/>
  <c r="R18" i="3"/>
  <c r="V18" i="3"/>
  <c r="T18" i="3"/>
  <c r="X18" i="3"/>
  <c r="S18" i="3"/>
  <c r="W18" i="3"/>
  <c r="Q18" i="3"/>
  <c r="U18" i="3"/>
  <c r="S19" i="3"/>
  <c r="W19" i="3"/>
  <c r="Q19" i="3"/>
  <c r="U19" i="3"/>
  <c r="R19" i="3"/>
  <c r="V19" i="3"/>
  <c r="T19" i="3"/>
  <c r="X19" i="3"/>
  <c r="W17" i="3"/>
  <c r="S17" i="3"/>
  <c r="U17" i="3"/>
  <c r="Q17" i="3"/>
  <c r="V17" i="3"/>
  <c r="R17" i="3"/>
  <c r="X17" i="3"/>
  <c r="T17" i="3"/>
  <c r="E113" i="1"/>
  <c r="E114" i="1"/>
  <c r="E125" i="1"/>
  <c r="E89" i="1"/>
  <c r="E88" i="1"/>
  <c r="E112" i="1"/>
  <c r="E33" i="1"/>
  <c r="E32" i="1"/>
  <c r="E31" i="1"/>
  <c r="E123" i="1"/>
  <c r="E124" i="1"/>
  <c r="E20" i="1"/>
  <c r="E19" i="1"/>
  <c r="E18" i="1"/>
  <c r="E122" i="1"/>
  <c r="E17" i="1"/>
  <c r="E16" i="1"/>
  <c r="E15" i="1"/>
  <c r="E10" i="1"/>
  <c r="E8" i="1"/>
  <c r="E103" i="1" l="1"/>
</calcChain>
</file>

<file path=xl/comments1.xml><?xml version="1.0" encoding="utf-8"?>
<comments xmlns="http://schemas.openxmlformats.org/spreadsheetml/2006/main">
  <authors>
    <author>Matthew Teter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>Matthew Teter:</t>
        </r>
        <r>
          <rPr>
            <sz val="9"/>
            <color indexed="81"/>
            <rFont val="Tahoma"/>
            <family val="2"/>
          </rPr>
          <t xml:space="preserve">
must be in multiples of 3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Matthew Teter:</t>
        </r>
        <r>
          <rPr>
            <sz val="9"/>
            <color indexed="81"/>
            <rFont val="Tahoma"/>
            <family val="2"/>
          </rPr>
          <t xml:space="preserve">
must be in multiples of 3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Matthew Teter:</t>
        </r>
        <r>
          <rPr>
            <sz val="9"/>
            <color indexed="81"/>
            <rFont val="Tahoma"/>
            <family val="2"/>
          </rPr>
          <t xml:space="preserve">
must be in multiples of 3</t>
        </r>
      </text>
    </comment>
  </commentList>
</comments>
</file>

<file path=xl/comments2.xml><?xml version="1.0" encoding="utf-8"?>
<comments xmlns="http://schemas.openxmlformats.org/spreadsheetml/2006/main">
  <authors>
    <author>Matthew Teter</author>
  </authors>
  <commentList>
    <comment ref="A26" authorId="0" shapeId="0">
      <text>
        <r>
          <rPr>
            <b/>
            <sz val="9"/>
            <color indexed="81"/>
            <rFont val="Tahoma"/>
            <family val="2"/>
          </rPr>
          <t>Matthew Teter:</t>
        </r>
        <r>
          <rPr>
            <sz val="9"/>
            <color indexed="81"/>
            <rFont val="Tahoma"/>
            <family val="2"/>
          </rPr>
          <t xml:space="preserve">
not sure if 1A is enough, it would be close
2.5A is def too much</t>
        </r>
      </text>
    </comment>
    <comment ref="J119" authorId="0" shapeId="0">
      <text>
        <r>
          <rPr>
            <b/>
            <sz val="9"/>
            <color indexed="81"/>
            <rFont val="Tahoma"/>
            <family val="2"/>
          </rPr>
          <t>Matthew Teter:</t>
        </r>
        <r>
          <rPr>
            <sz val="9"/>
            <color indexed="81"/>
            <rFont val="Tahoma"/>
            <family val="2"/>
          </rPr>
          <t xml:space="preserve">
must be in multiples of 3</t>
        </r>
      </text>
    </comment>
    <comment ref="J120" authorId="0" shapeId="0">
      <text>
        <r>
          <rPr>
            <b/>
            <sz val="9"/>
            <color indexed="81"/>
            <rFont val="Tahoma"/>
            <family val="2"/>
          </rPr>
          <t>Matthew Teter:</t>
        </r>
        <r>
          <rPr>
            <sz val="9"/>
            <color indexed="81"/>
            <rFont val="Tahoma"/>
            <family val="2"/>
          </rPr>
          <t xml:space="preserve">
must be in multiples of 3</t>
        </r>
      </text>
    </comment>
    <comment ref="J121" authorId="0" shapeId="0">
      <text>
        <r>
          <rPr>
            <b/>
            <sz val="9"/>
            <color indexed="81"/>
            <rFont val="Tahoma"/>
            <family val="2"/>
          </rPr>
          <t>Matthew Teter:</t>
        </r>
        <r>
          <rPr>
            <sz val="9"/>
            <color indexed="81"/>
            <rFont val="Tahoma"/>
            <family val="2"/>
          </rPr>
          <t xml:space="preserve">
must be in multiples of 3</t>
        </r>
      </text>
    </comment>
  </commentList>
</comments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://www.digikey.com/product-search/en?vendor=0&amp;keywords=PRPC040SACN-RC"/>
  </connection>
</connections>
</file>

<file path=xl/sharedStrings.xml><?xml version="1.0" encoding="utf-8"?>
<sst xmlns="http://schemas.openxmlformats.org/spreadsheetml/2006/main" count="786" uniqueCount="382">
  <si>
    <t>Part</t>
  </si>
  <si>
    <t># in Stock</t>
  </si>
  <si>
    <t># Being Shipped</t>
  </si>
  <si>
    <t># to Order</t>
  </si>
  <si>
    <t>Cost Per</t>
  </si>
  <si>
    <t>Teensy 3.2</t>
  </si>
  <si>
    <t>Teensy SD Card Adapter</t>
  </si>
  <si>
    <t>Wiz820io</t>
  </si>
  <si>
    <t>Link</t>
  </si>
  <si>
    <t>CR2032 Battery</t>
  </si>
  <si>
    <t>1x14 female header</t>
  </si>
  <si>
    <t>1x5 female header</t>
  </si>
  <si>
    <t>1x6 female header</t>
  </si>
  <si>
    <t>1x4 female header</t>
  </si>
  <si>
    <t>1x40 male header</t>
  </si>
  <si>
    <t>1x40 male dbl long header</t>
  </si>
  <si>
    <t>220ohm 1206 resistor</t>
  </si>
  <si>
    <t>100ohm 1206 resistor</t>
  </si>
  <si>
    <t>Green 2V 20mA 1206 LED</t>
  </si>
  <si>
    <t>Red 2V 20mA 1206 LED</t>
  </si>
  <si>
    <t>Orange 2V 20mA 1206 LED</t>
  </si>
  <si>
    <t>MCP1825S33 3V3 Voltage Regulator</t>
  </si>
  <si>
    <t>485 shield</t>
  </si>
  <si>
    <t>2.1mm barrel jack</t>
  </si>
  <si>
    <t>D24V5F5 5V, .5A power regulator</t>
  </si>
  <si>
    <t>Tweezers</t>
  </si>
  <si>
    <t>USB A to micro</t>
  </si>
  <si>
    <t>Electric Soldering Iron</t>
  </si>
  <si>
    <t>Small soldering tip</t>
  </si>
  <si>
    <t>pcb vise</t>
  </si>
  <si>
    <t>Total # Desired</t>
  </si>
  <si>
    <t>OSHPark</t>
  </si>
  <si>
    <t>SparkFun</t>
  </si>
  <si>
    <t>PJRC</t>
  </si>
  <si>
    <t>Alternatives</t>
  </si>
  <si>
    <t>Mouser</t>
  </si>
  <si>
    <t>Digikey</t>
  </si>
  <si>
    <t>32.768 kHz Crystal 5ppm</t>
  </si>
  <si>
    <t>Sparkfun</t>
  </si>
  <si>
    <t>Pololu</t>
  </si>
  <si>
    <t>Amazon</t>
  </si>
  <si>
    <t>Order Cost</t>
  </si>
  <si>
    <t>1x8 female header</t>
  </si>
  <si>
    <t>Head magnifier</t>
  </si>
  <si>
    <t>Max485esa+ transceiver</t>
  </si>
  <si>
    <t>SPDT dip switch</t>
  </si>
  <si>
    <t>2N7002 transistor sot-23-3</t>
  </si>
  <si>
    <t>x</t>
  </si>
  <si>
    <t>y</t>
  </si>
  <si>
    <t>radius</t>
  </si>
  <si>
    <t>internal polygons</t>
  </si>
  <si>
    <t>external curves</t>
  </si>
  <si>
    <t>104  1206 capacitor</t>
  </si>
  <si>
    <t>510ohm 1206 resistor</t>
  </si>
  <si>
    <t>10kohm 1206 resistor</t>
  </si>
  <si>
    <t>1kohm 1206 resistor</t>
  </si>
  <si>
    <t>270ohm 1206 resistor</t>
  </si>
  <si>
    <t>120ohm 1206 resistor</t>
  </si>
  <si>
    <t>Total</t>
  </si>
  <si>
    <t>left tri</t>
  </si>
  <si>
    <t>right tri</t>
  </si>
  <si>
    <t>circles</t>
  </si>
  <si>
    <t>bot poly</t>
  </si>
  <si>
    <t>top</t>
  </si>
  <si>
    <t>right</t>
  </si>
  <si>
    <t>left</t>
  </si>
  <si>
    <t>bot</t>
  </si>
  <si>
    <t>CR2032 Battery Holder</t>
  </si>
  <si>
    <t>Vert CR2032 Battery Holder</t>
  </si>
  <si>
    <t>D24V5F3, .5A power regulator</t>
  </si>
  <si>
    <t>board cost</t>
  </si>
  <si>
    <t>SPDT dip switch neutral setting</t>
  </si>
  <si>
    <t>Adafruit</t>
  </si>
  <si>
    <t>PCB - 3V3 - 42 x 49 mm</t>
  </si>
  <si>
    <t>Req for 3V3 Slim</t>
  </si>
  <si>
    <t>Wide DIN case</t>
  </si>
  <si>
    <t>Slim DIN case</t>
  </si>
  <si>
    <t>Heat sink .4 x .4"</t>
  </si>
  <si>
    <t>Heat Sink .25 x .25"</t>
  </si>
  <si>
    <t>PCB -3V3 - 32.8 x 86.9 mm</t>
  </si>
  <si>
    <t>Wide DIN case clear cover</t>
  </si>
  <si>
    <t>8GB Micro SD Card</t>
  </si>
  <si>
    <t>AAA Batteries</t>
  </si>
  <si>
    <t>680ohm 1206 resistor</t>
  </si>
  <si>
    <t>680ohm 0603 resistor</t>
  </si>
  <si>
    <t>Green 2V 20mA 0603 LED</t>
  </si>
  <si>
    <t>Red 2V 20mA 0603 LED</t>
  </si>
  <si>
    <t>Orange 2V 20mA 0603 LED</t>
  </si>
  <si>
    <t>104  0603 capacitor</t>
  </si>
  <si>
    <t>120ohm 0603 resistor</t>
  </si>
  <si>
    <t>270ohm 0603 resistor</t>
  </si>
  <si>
    <t>1kohm 0603 resistor</t>
  </si>
  <si>
    <t>10kohm 0603 resistor</t>
  </si>
  <si>
    <t>510ohm 0603 resistor</t>
  </si>
  <si>
    <t>9V 650mA Power Supply</t>
  </si>
  <si>
    <t>USB A to Micro</t>
  </si>
  <si>
    <t>5V 2A (2000mA) switching power supply</t>
  </si>
  <si>
    <t>5V 2A Switching Power Supply w/ USB-A Connector</t>
  </si>
  <si>
    <t>33kohm 0603 resistor</t>
  </si>
  <si>
    <t>DPDT dip switch</t>
  </si>
  <si>
    <t>16GB Micro SD Card</t>
  </si>
  <si>
    <t>32GB Micro SD Card</t>
  </si>
  <si>
    <t>Approx.</t>
  </si>
  <si>
    <t>5V 550mA Switch PS via USB</t>
  </si>
  <si>
    <t>Display Board</t>
  </si>
  <si>
    <t>Raspberry Pi 2</t>
  </si>
  <si>
    <t>5V 2.5 A Power Supply</t>
  </si>
  <si>
    <t>Yellow 2V 20mA 0603 LED</t>
  </si>
  <si>
    <t>s/mB</t>
  </si>
  <si>
    <t>20 yrs</t>
  </si>
  <si>
    <t>mins/Mb</t>
  </si>
  <si>
    <t>datetime chars</t>
  </si>
  <si>
    <t>commas + newline</t>
  </si>
  <si>
    <t>num meters</t>
  </si>
  <si>
    <t>num vals per mtr</t>
  </si>
  <si>
    <t>num vals tot</t>
  </si>
  <si>
    <t>chars per val</t>
  </si>
  <si>
    <t>chars per line</t>
  </si>
  <si>
    <t>bytes</t>
  </si>
  <si>
    <t>poll x mins</t>
  </si>
  <si>
    <t>total space</t>
  </si>
  <si>
    <t>years storage</t>
  </si>
  <si>
    <t>Gb</t>
  </si>
  <si>
    <t>yrs</t>
  </si>
  <si>
    <t>mins/poll</t>
  </si>
  <si>
    <t>hdr chars</t>
  </si>
  <si>
    <t>needed space</t>
  </si>
  <si>
    <t>Bluetooth Mouse</t>
  </si>
  <si>
    <t>New</t>
  </si>
  <si>
    <t>Heatsink 10mm square</t>
  </si>
  <si>
    <t>R-78-E5.0, 500mA voltage regulator</t>
  </si>
  <si>
    <t>Digi-Key Electronics - Electronic Components Distributor</t>
  </si>
  <si>
    <t>United States 1-800-344-4539</t>
  </si>
  <si>
    <t>Change Country USEnglish USD</t>
  </si>
  <si>
    <t xml:space="preserve">Your item(s) </t>
  </si>
  <si>
    <t>View Cart</t>
  </si>
  <si>
    <t>Login or</t>
  </si>
  <si>
    <t>REGISTER</t>
  </si>
  <si>
    <t>LoginRegister</t>
  </si>
  <si>
    <t xml:space="preserve">PRODUCTS MANUFACTURERS </t>
  </si>
  <si>
    <t xml:space="preserve">RESOURCES </t>
  </si>
  <si>
    <t>Research</t>
  </si>
  <si>
    <t>Academic Program</t>
  </si>
  <si>
    <t>Articles</t>
  </si>
  <si>
    <t>Content Library</t>
  </si>
  <si>
    <t>Newest Products</t>
  </si>
  <si>
    <t>Product Training Modules</t>
  </si>
  <si>
    <t>Video Library</t>
  </si>
  <si>
    <t>Design</t>
  </si>
  <si>
    <t>Conversion Calculators</t>
  </si>
  <si>
    <t>EDA &amp; Design Tools</t>
  </si>
  <si>
    <t>Reference Designs</t>
  </si>
  <si>
    <t>TechZones℠</t>
  </si>
  <si>
    <t>Search / Ordering</t>
  </si>
  <si>
    <t>BOM Manager</t>
  </si>
  <si>
    <t>Browser Resources</t>
  </si>
  <si>
    <t>Online Catalog</t>
  </si>
  <si>
    <t>Order Status</t>
  </si>
  <si>
    <t>Shopping Cart</t>
  </si>
  <si>
    <t xml:space="preserve">  LIVE CHAT </t>
  </si>
  <si>
    <t xml:space="preserve">Product Index  &gt;  Connectors, Interconnects  &gt;  Rectangular Connectors - Headers, Male Pins  &gt;  Sullins Connector Solutions PRPC040SACN-RC </t>
  </si>
  <si>
    <t xml:space="preserve">Share </t>
  </si>
  <si>
    <t>Share this on:</t>
  </si>
  <si>
    <t>Or copy the link below:</t>
  </si>
  <si>
    <t>This feature is temporarily unavailable. We are working diligently to get this fixed. Thank you for your patience.</t>
  </si>
  <si>
    <t xml:space="preserve">Add To Favorites </t>
  </si>
  <si>
    <t>This feature is only available for registered users. Please Login or Register.</t>
  </si>
  <si>
    <t>PRPC040SACN-RC Sullins Connector Solutions | S1131EC-40-ND DigiKey Electronics</t>
  </si>
  <si>
    <t>Product Overview</t>
  </si>
  <si>
    <t>Digi-Key Part Number</t>
  </si>
  <si>
    <t>S1131EC-40-ND</t>
  </si>
  <si>
    <t>Quantity Available</t>
  </si>
  <si>
    <t>Can ship immediately</t>
  </si>
  <si>
    <t>Manufacturer</t>
  </si>
  <si>
    <t xml:space="preserve">Sullins Connector Solutions </t>
  </si>
  <si>
    <t>Manufacturer Part Number</t>
  </si>
  <si>
    <t>PRPC040SACN-RC</t>
  </si>
  <si>
    <t>Description</t>
  </si>
  <si>
    <t>40 Positions Header, Unshrouded, Breakaway Connector 0.100" (2.54mm) Through Hole Gold</t>
  </si>
  <si>
    <t>Lead Free Status / RoHS Status</t>
  </si>
  <si>
    <t>Lead free / RoHS Compliant</t>
  </si>
  <si>
    <t>Moisture Sensitivity Level (MSL)</t>
  </si>
  <si>
    <t>1 (Unlimited)</t>
  </si>
  <si>
    <t>Manufacturer Standard Lead Time</t>
  </si>
  <si>
    <t xml:space="preserve">3 Weeks </t>
  </si>
  <si>
    <t>Documents &amp; Media</t>
  </si>
  <si>
    <t>Datasheets</t>
  </si>
  <si>
    <t>zzzCzzzSzzN-RC Drawing</t>
  </si>
  <si>
    <t>Featured Product</t>
  </si>
  <si>
    <t>.100" Brass Header</t>
  </si>
  <si>
    <t>PCN Design/Specification</t>
  </si>
  <si>
    <t>PBT Reflow Process/Not Recommended 05/Apr/2012</t>
  </si>
  <si>
    <t xml:space="preserve">0.100" (2.54mm) Pitch Connector Headers </t>
  </si>
  <si>
    <t>Product Attributes</t>
  </si>
  <si>
    <t>Select All</t>
  </si>
  <si>
    <t>Category</t>
  </si>
  <si>
    <t>Connectors, Interconnects</t>
  </si>
  <si>
    <t>Family</t>
  </si>
  <si>
    <t>Rectangular Connectors - Headers, Male Pins</t>
  </si>
  <si>
    <t>Sullins Connector Solutions</t>
  </si>
  <si>
    <t>Series</t>
  </si>
  <si>
    <t>-</t>
  </si>
  <si>
    <t>Packaging ?</t>
  </si>
  <si>
    <t>Bulk ?</t>
  </si>
  <si>
    <t>Part Status</t>
  </si>
  <si>
    <t>Active</t>
  </si>
  <si>
    <t>Contact Type</t>
  </si>
  <si>
    <t>Male Pin</t>
  </si>
  <si>
    <t>Connector Type</t>
  </si>
  <si>
    <t>Header, Unshrouded, Breakaway</t>
  </si>
  <si>
    <t>Number of Positions</t>
  </si>
  <si>
    <t>Number of Positions Loaded</t>
  </si>
  <si>
    <t>All</t>
  </si>
  <si>
    <t>Pitch</t>
  </si>
  <si>
    <t>0.100" (2.54mm)</t>
  </si>
  <si>
    <t>Number of Rows</t>
  </si>
  <si>
    <t>Row Spacing</t>
  </si>
  <si>
    <t>Contact Mating Length</t>
  </si>
  <si>
    <t>0.230" (5.84mm)</t>
  </si>
  <si>
    <t>Mounting Type</t>
  </si>
  <si>
    <t>Through Hole</t>
  </si>
  <si>
    <t>Termination</t>
  </si>
  <si>
    <t>Solder</t>
  </si>
  <si>
    <t>Fastening Type</t>
  </si>
  <si>
    <t>Features</t>
  </si>
  <si>
    <t>Contact Finish</t>
  </si>
  <si>
    <t>Gold</t>
  </si>
  <si>
    <t>Contact Finish Thickness</t>
  </si>
  <si>
    <t>Flash</t>
  </si>
  <si>
    <t>Color</t>
  </si>
  <si>
    <t>Black</t>
  </si>
  <si>
    <t>Report an Error</t>
  </si>
  <si>
    <t>You May Also Be Interested In:</t>
  </si>
  <si>
    <t>PRPC040SAAN-RC - Sullins Connector Solutions | S1011EC-40-ND DigiKey Electronics</t>
  </si>
  <si>
    <t>PRPC040SAAN-RC</t>
  </si>
  <si>
    <t>CONN HEADER .100" SNGL STR 40POS</t>
  </si>
  <si>
    <t>Unit Price 0.74000</t>
  </si>
  <si>
    <t>PRPC040SFAN-RC - Sullins Connector Solutions | S1211EC-40-ND DigiKey Electronics</t>
  </si>
  <si>
    <t>PRPC040SFAN-RC</t>
  </si>
  <si>
    <t>Unit Price 0.84000</t>
  </si>
  <si>
    <t>PRPC040DAAN-RC - Sullins Connector Solutions | S2011EC-40-ND DigiKey Electronics</t>
  </si>
  <si>
    <t>PRPC040DAAN-RC</t>
  </si>
  <si>
    <t>CONN HEADER .100" DUAL STR 80POS</t>
  </si>
  <si>
    <t>Unit Price 1.47000</t>
  </si>
  <si>
    <t>85 - Adafruit Industries LLC | 1528-1074-ND DigiKey Electronics</t>
  </si>
  <si>
    <t>Adafruit Industries LLC</t>
  </si>
  <si>
    <t>STACKING HEADER ARDUINO SHIELD</t>
  </si>
  <si>
    <t>Unit Price 1.95000</t>
  </si>
  <si>
    <t>PPPC061LFBN-RC - Sullins Connector Solutions | S7039-ND DigiKey Electronics</t>
  </si>
  <si>
    <t>PPPC061LFBN-RC</t>
  </si>
  <si>
    <t>CONN HEADER FEMALE 6POS .1" GOLD</t>
  </si>
  <si>
    <t>Unit Price 0.70000</t>
  </si>
  <si>
    <t>Additional Resources</t>
  </si>
  <si>
    <t>Standard Package ?</t>
  </si>
  <si>
    <t>Other Names</t>
  </si>
  <si>
    <t>PRPC040SACNRC</t>
  </si>
  <si>
    <t>S9528E-40</t>
  </si>
  <si>
    <t>S9528E-40-ND</t>
  </si>
  <si>
    <t>Price &amp; Procurement</t>
  </si>
  <si>
    <t>Quantity</t>
  </si>
  <si>
    <t>All prices are in US dollars.</t>
  </si>
  <si>
    <t>Price Break</t>
  </si>
  <si>
    <t>Unit Price</t>
  </si>
  <si>
    <t>Extended Price</t>
  </si>
  <si>
    <t>Submit a request for quotation on quantities greater than those displayed.</t>
  </si>
  <si>
    <t>Alternate Length</t>
  </si>
  <si>
    <t>Digi-Key Part Number: S1131EC-04-ND</t>
  </si>
  <si>
    <t>Description: CONN HEADER .100" SNGL STR 4POS</t>
  </si>
  <si>
    <t>Quantity Available: 930 - Immediate</t>
  </si>
  <si>
    <t>Value Added Item ?</t>
  </si>
  <si>
    <t>Digi-Key Part Number: S1131EC-01-ND</t>
  </si>
  <si>
    <t>Description: CONN HEADER .100" SNGL STR 1POS</t>
  </si>
  <si>
    <t>Quantity Available: Value Added Item ?</t>
  </si>
  <si>
    <t>Digi-Key Part Number: S1131EC-02-ND</t>
  </si>
  <si>
    <t>Description: CONN HEADER .100" SNGL STR 2POS</t>
  </si>
  <si>
    <t>Digi-Key Part Number: S1131EC-03-ND</t>
  </si>
  <si>
    <t>Description: CONN HEADER .100" SNGL STR 3POS</t>
  </si>
  <si>
    <t>Digi-Key Part Number: S1131EC-05-ND</t>
  </si>
  <si>
    <t>Description: CONN HEADER .100" SNGL STR 5POS</t>
  </si>
  <si>
    <t>View More</t>
  </si>
  <si>
    <t xml:space="preserve">Send Feedback </t>
  </si>
  <si>
    <t>Information</t>
  </si>
  <si>
    <t>Terms &amp; Conditions</t>
  </si>
  <si>
    <t>About Digi-Key</t>
  </si>
  <si>
    <t>Contact Us</t>
  </si>
  <si>
    <t>Newsroom</t>
  </si>
  <si>
    <t>Site Map</t>
  </si>
  <si>
    <t>Supported Browsers</t>
  </si>
  <si>
    <t>Privacy Statement</t>
  </si>
  <si>
    <t>Careers</t>
  </si>
  <si>
    <t>United States</t>
  </si>
  <si>
    <t>sales@digikey.com</t>
  </si>
  <si>
    <t>Toll Free: 1-800-344-4539</t>
  </si>
  <si>
    <t>Phone: 218-681-6674</t>
  </si>
  <si>
    <t>Fax: 218-681-3380</t>
  </si>
  <si>
    <t>Live Chat</t>
  </si>
  <si>
    <t>International</t>
  </si>
  <si>
    <t>Africa</t>
  </si>
  <si>
    <t>Asia</t>
  </si>
  <si>
    <t>Australia</t>
  </si>
  <si>
    <t>Europe</t>
  </si>
  <si>
    <t>Middle East</t>
  </si>
  <si>
    <t>North America</t>
  </si>
  <si>
    <t>South America</t>
  </si>
  <si>
    <t>Digi-Key Mobile AppsFacebookGoogle PlusLinkedInTwitterYoutube</t>
  </si>
  <si>
    <t>Copyright © 1995-2016, Digi-Key Electronics.</t>
  </si>
  <si>
    <t>All Rights Reserved.</t>
  </si>
  <si>
    <t>701 Brooks Avenue South,</t>
  </si>
  <si>
    <t>Thief River Falls, MN 56701 USA</t>
  </si>
  <si>
    <t>ECIA/CEDA/ECSN Member</t>
  </si>
  <si>
    <t>Term Block 3 Pin .2" 180 plug</t>
  </si>
  <si>
    <t>Term Block 3 Pin .2" 270 Plug</t>
  </si>
  <si>
    <t>Term Block 3 Pin .2" 90 header</t>
  </si>
  <si>
    <t>Term Block 6Pin .2" 180 header</t>
  </si>
  <si>
    <t>One offs:</t>
  </si>
  <si>
    <t>Discontinued</t>
  </si>
  <si>
    <t>Req for 2.1</t>
  </si>
  <si>
    <t>Req for 3.0</t>
  </si>
  <si>
    <t>NC7SB3157P6X SPDT</t>
  </si>
  <si>
    <t>FSA3357K8X SP3T</t>
  </si>
  <si>
    <t>MAX4525EUB+ DPDT</t>
  </si>
  <si>
    <t>273 0603 capacitor</t>
  </si>
  <si>
    <t>5.1kohm 0603 resistor</t>
  </si>
  <si>
    <t>Req for 4.0</t>
  </si>
  <si>
    <t>PCB - 3V3 - 49.5 x 58.5 mm</t>
  </si>
  <si>
    <t>180ohm 0603 resistor</t>
  </si>
  <si>
    <t>MB85RS256BPNF FRAM 32kB Memory</t>
  </si>
  <si>
    <t>Anti Static Mat</t>
  </si>
  <si>
    <t>Anti Static Wrist Band</t>
  </si>
  <si>
    <t>Plug with Ground</t>
  </si>
  <si>
    <t>No Clean Flux</t>
  </si>
  <si>
    <t>Kim dry wipes</t>
  </si>
  <si>
    <t>Soldering Paste</t>
  </si>
  <si>
    <t>Mosfet P-ch DMG2305UX-13</t>
  </si>
  <si>
    <t>Fuse MF-MSMF250</t>
  </si>
  <si>
    <t>Diode SMBJ5.0A</t>
  </si>
  <si>
    <t>Trans 2PNP BCM857BS</t>
  </si>
  <si>
    <t>DIN Rail enclosure</t>
  </si>
  <si>
    <t>Allied Electronics</t>
  </si>
  <si>
    <t>per brd</t>
  </si>
  <si>
    <t>total</t>
  </si>
  <si>
    <t>Req for 1.0</t>
  </si>
  <si>
    <t>104  100 nF 0603 capacitor</t>
  </si>
  <si>
    <t>476 47 uF 0603 capacitor</t>
  </si>
  <si>
    <t>105 1uF 0603 capacitor</t>
  </si>
  <si>
    <t>120ohm 1% 0603 resistor</t>
  </si>
  <si>
    <t>180ohm 1% 0603 resistor</t>
  </si>
  <si>
    <t>270ohm 1% 0603 resistor</t>
  </si>
  <si>
    <t>510ohm 1% 0603 resistor</t>
  </si>
  <si>
    <t>680ohm 1% 0603 resistor</t>
  </si>
  <si>
    <t>1kohm 1% 0603 resistor</t>
  </si>
  <si>
    <t>10kohm 1% 0603 resistor</t>
  </si>
  <si>
    <t>33kohm 1% 0603 resistor</t>
  </si>
  <si>
    <t>47kohm 1% 0603 resistor</t>
  </si>
  <si>
    <t>5V 2.5A Buck Converter</t>
  </si>
  <si>
    <t>TI 5V 1.5A DC DC Converter</t>
  </si>
  <si>
    <t>Barrel Jack 2.1mm</t>
  </si>
  <si>
    <t>Barrel Plug 2.1 mm</t>
  </si>
  <si>
    <t>485/Power PiHat 1.0</t>
  </si>
  <si>
    <t>2x20 female header</t>
  </si>
  <si>
    <t>R-78E5.0-1.0 5V 1A DC DC Converter</t>
  </si>
  <si>
    <t>Raspberry Pi 3 Model B</t>
  </si>
  <si>
    <t>M2.5x.45 12mm standoffs</t>
  </si>
  <si>
    <t>M2.5x.45 6mm screws</t>
  </si>
  <si>
    <t>100pc M2.5x.45 8mm countersunk</t>
  </si>
  <si>
    <t>50pc M2.5x.45 6mm screws</t>
  </si>
  <si>
    <t>M2.5x.45 nut</t>
  </si>
  <si>
    <t>Subtotal</t>
  </si>
  <si>
    <t>Max485esa+ transceiver 5V</t>
  </si>
  <si>
    <t>MAX3485CSA Transceiver 3V</t>
  </si>
  <si>
    <t>Term Block 3 Pin .2" 90 male header</t>
  </si>
  <si>
    <t>Term Block 3 Pin .2" 180 female plug</t>
  </si>
  <si>
    <t>Term Block 3 Pin .2" 90 female header</t>
  </si>
  <si>
    <t>Term Block 3 Pin .2" 180 male plug</t>
  </si>
  <si>
    <t>#4-40 7/16" standoff</t>
  </si>
  <si>
    <t>McMaster-Carr</t>
  </si>
  <si>
    <t>#4-40 3/16" screw (100 pk)</t>
  </si>
  <si>
    <t>#4-40 nut (100 pk)</t>
  </si>
  <si>
    <t>2.0</t>
  </si>
  <si>
    <t>485/Power PiHat 2.0</t>
  </si>
  <si>
    <t>485/Power PiHat 2.0 Super Swift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</si>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</sst>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2"/>
    <xf numFmtId="44" fontId="0" fillId="0" borderId="0" xfId="1" applyFont="1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0" fontId="2" fillId="0" borderId="1" xfId="2" applyBorder="1"/>
    <xf numFmtId="0" fontId="0" fillId="0" borderId="3" xfId="0" applyBorder="1"/>
    <xf numFmtId="0" fontId="2" fillId="0" borderId="3" xfId="2" applyBorder="1"/>
    <xf numFmtId="44" fontId="0" fillId="0" borderId="3" xfId="1" applyFont="1" applyBorder="1"/>
    <xf numFmtId="0" fontId="0" fillId="0" borderId="2" xfId="0" applyBorder="1"/>
    <xf numFmtId="44" fontId="0" fillId="0" borderId="2" xfId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4" fontId="0" fillId="0" borderId="4" xfId="0" applyNumberFormat="1" applyBorder="1"/>
    <xf numFmtId="44" fontId="0" fillId="0" borderId="9" xfId="0" applyNumberFormat="1" applyBorder="1"/>
    <xf numFmtId="0" fontId="0" fillId="0" borderId="0" xfId="0" applyFill="1" applyBorder="1"/>
    <xf numFmtId="164" fontId="0" fillId="0" borderId="0" xfId="0" applyNumberFormat="1"/>
    <xf numFmtId="0" fontId="0" fillId="0" borderId="1" xfId="0" applyFill="1" applyBorder="1"/>
    <xf numFmtId="0" fontId="0" fillId="0" borderId="0" xfId="0" quotePrefix="1"/>
    <xf numFmtId="0" fontId="0" fillId="0" borderId="8" xfId="0" applyBorder="1"/>
    <xf numFmtId="0" fontId="0" fillId="0" borderId="10" xfId="0" applyBorder="1"/>
    <xf numFmtId="0" fontId="0" fillId="0" borderId="0" xfId="0" applyFill="1" applyAlignment="1">
      <alignment wrapText="1"/>
    </xf>
    <xf numFmtId="0" fontId="0" fillId="0" borderId="11" xfId="0" applyFill="1" applyBorder="1"/>
    <xf numFmtId="0" fontId="0" fillId="2" borderId="1" xfId="0" applyFill="1" applyBorder="1"/>
    <xf numFmtId="0" fontId="0" fillId="2" borderId="0" xfId="0" applyFill="1" applyAlignment="1">
      <alignment wrapText="1"/>
    </xf>
    <xf numFmtId="0" fontId="0" fillId="0" borderId="0" xfId="0" applyBorder="1"/>
    <xf numFmtId="44" fontId="0" fillId="0" borderId="0" xfId="1" applyFont="1" applyBorder="1"/>
    <xf numFmtId="0" fontId="2" fillId="0" borderId="0" xfId="2" applyBorder="1"/>
    <xf numFmtId="44" fontId="0" fillId="0" borderId="0" xfId="0" applyNumberFormat="1" applyBorder="1"/>
    <xf numFmtId="0" fontId="0" fillId="0" borderId="6" xfId="0" applyBorder="1" applyAlignment="1">
      <alignment horizontal="left"/>
    </xf>
    <xf numFmtId="2" fontId="0" fillId="0" borderId="0" xfId="0" applyNumberFormat="1"/>
    <xf numFmtId="3" fontId="0" fillId="0" borderId="0" xfId="0" applyNumberFormat="1"/>
    <xf numFmtId="22" fontId="0" fillId="0" borderId="0" xfId="0" applyNumberFormat="1"/>
    <xf numFmtId="4" fontId="0" fillId="0" borderId="0" xfId="0" applyNumberFormat="1"/>
    <xf numFmtId="0" fontId="5" fillId="0" borderId="1" xfId="0" applyFont="1" applyBorder="1" applyAlignment="1">
      <alignment vertical="center" wrapText="1"/>
    </xf>
    <xf numFmtId="0" fontId="0" fillId="3" borderId="1" xfId="0" applyFill="1" applyBorder="1"/>
    <xf numFmtId="0" fontId="0" fillId="0" borderId="12" xfId="0" applyBorder="1"/>
    <xf numFmtId="44" fontId="0" fillId="0" borderId="12" xfId="1" applyFont="1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0" fillId="0" borderId="14" xfId="0" applyBorder="1"/>
    <xf numFmtId="0" fontId="0" fillId="0" borderId="15" xfId="0" applyBorder="1"/>
    <xf numFmtId="44" fontId="0" fillId="0" borderId="16" xfId="0" applyNumberFormat="1" applyBorder="1"/>
    <xf numFmtId="44" fontId="0" fillId="0" borderId="17" xfId="0" applyNumberFormat="1" applyBorder="1"/>
    <xf numFmtId="0" fontId="2" fillId="0" borderId="12" xfId="2" applyBorder="1"/>
    <xf numFmtId="0" fontId="0" fillId="0" borderId="0" xfId="0" applyFill="1"/>
    <xf numFmtId="0" fontId="0" fillId="4" borderId="12" xfId="0" applyFill="1" applyBorder="1"/>
    <xf numFmtId="0" fontId="0" fillId="0" borderId="12" xfId="0" applyFill="1" applyBorder="1"/>
    <xf numFmtId="44" fontId="0" fillId="0" borderId="1" xfId="0" applyNumberFormat="1" applyBorder="1"/>
    <xf numFmtId="0" fontId="0" fillId="4" borderId="1" xfId="0" applyFill="1" applyBorder="1"/>
    <xf numFmtId="165" fontId="0" fillId="0" borderId="0" xfId="3" applyNumberFormat="1" applyFont="1"/>
    <xf numFmtId="44" fontId="0" fillId="0" borderId="1" xfId="1" applyFont="1" applyBorder="1" applyAlignment="1">
      <alignment wrapText="1"/>
    </xf>
    <xf numFmtId="44" fontId="0" fillId="0" borderId="12" xfId="1" applyFont="1" applyBorder="1" applyAlignment="1">
      <alignment wrapText="1"/>
    </xf>
    <xf numFmtId="0" fontId="0" fillId="2" borderId="17" xfId="0" applyFill="1" applyBorder="1" applyAlignment="1">
      <alignment horizontal="center" wrapText="1"/>
    </xf>
    <xf numFmtId="0" fontId="0" fillId="2" borderId="17" xfId="0" quotePrefix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n?vendor=0&amp;keywords=PRPC040SACN-R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mile.amazon.com/Weller-WES51-Analog-Soldering-Station/dp/B000BRC2XU/ref=sr_1_17?ie=UTF8&amp;qid=1447858965&amp;sr=8-17&amp;keywords=soldering+iron" TargetMode="External"/><Relationship Id="rId21" Type="http://schemas.openxmlformats.org/officeDocument/2006/relationships/hyperlink" Target="http://www.amazon.com/dp/B00NH13LSM/ref=twister_B00DGRUY3M?_encoding=UTF8&amp;psc=1" TargetMode="External"/><Relationship Id="rId42" Type="http://schemas.openxmlformats.org/officeDocument/2006/relationships/hyperlink" Target="http://www.digikey.com/product-detail/en/CJS-1201TB/563-1024-1-ND/948406" TargetMode="External"/><Relationship Id="rId47" Type="http://schemas.openxmlformats.org/officeDocument/2006/relationships/hyperlink" Target="http://www.digikey.com/product-detail/en/DMB-4770/377-1807-ND/2499326" TargetMode="External"/><Relationship Id="rId63" Type="http://schemas.openxmlformats.org/officeDocument/2006/relationships/hyperlink" Target="https://www.adafruit.com/products/1994" TargetMode="External"/><Relationship Id="rId68" Type="http://schemas.openxmlformats.org/officeDocument/2006/relationships/hyperlink" Target="http://www.digikey.com/product-detail/en/RC0603FR-07510RL/311-510HRCT-ND/730232" TargetMode="External"/><Relationship Id="rId84" Type="http://schemas.openxmlformats.org/officeDocument/2006/relationships/hyperlink" Target="http://www.digikey.com/product-detail/en/fairchild-semiconductor/NC7SB3157P6X/NC7SB3157P6XCT-ND/1305384" TargetMode="External"/><Relationship Id="rId89" Type="http://schemas.openxmlformats.org/officeDocument/2006/relationships/hyperlink" Target="https://oshpark.com/" TargetMode="External"/><Relationship Id="rId16" Type="http://schemas.openxmlformats.org/officeDocument/2006/relationships/hyperlink" Target="http://www.digikey.com/product-detail/en/PPPC051LFBN-RC/S7038-ND/810177" TargetMode="External"/><Relationship Id="rId11" Type="http://schemas.openxmlformats.org/officeDocument/2006/relationships/hyperlink" Target="http://www.digikey.com/product-detail/en/RC1206FR-07220RL/311-220FRCT-ND/731640" TargetMode="External"/><Relationship Id="rId32" Type="http://schemas.openxmlformats.org/officeDocument/2006/relationships/hyperlink" Target="http://www.digikey.com/product-detail/en/RC1206FR-07120RL/311-120FRCT-ND/731470" TargetMode="External"/><Relationship Id="rId37" Type="http://schemas.openxmlformats.org/officeDocument/2006/relationships/hyperlink" Target="http://www.digikey.com/product-detail/en/2N7002LT1G/2N7002LT1GOSCT-ND/917791" TargetMode="External"/><Relationship Id="rId53" Type="http://schemas.openxmlformats.org/officeDocument/2006/relationships/hyperlink" Target="http://www.digikey.com/product-detail/en/ETH/ETH-ND/251751" TargetMode="External"/><Relationship Id="rId58" Type="http://schemas.openxmlformats.org/officeDocument/2006/relationships/hyperlink" Target="http://www.digikey.com/product-detail/en/LTST-C191KGKT/160-1446-1-ND/386834" TargetMode="External"/><Relationship Id="rId74" Type="http://schemas.openxmlformats.org/officeDocument/2006/relationships/hyperlink" Target="https://www.pololu.com/product/2843" TargetMode="External"/><Relationship Id="rId79" Type="http://schemas.openxmlformats.org/officeDocument/2006/relationships/hyperlink" Target="http://www.amazon.com/CanaKit-Raspberry-Supply-Adapter-Charger/dp/B00MARDJZ4/ref=pd_bxgy_147_img_3?ie=UTF8&amp;refRID=0QMB9BBQA46GSZDTZ2CChttp://www.amazon.com/CanaKit-Raspberry-Supply-Adapter-Charger/dp/B00MARDJZ4/ref=pd_bxgy_147_img_3?ie=UTF8&amp;refRID=0QMB9BB" TargetMode="External"/><Relationship Id="rId5" Type="http://schemas.openxmlformats.org/officeDocument/2006/relationships/hyperlink" Target="http://www.digikey.com/product-detail/en/MCP1825S-3302E%2FDB/MCP1825S-3302E%2FDB-ND/1636103" TargetMode="External"/><Relationship Id="rId90" Type="http://schemas.openxmlformats.org/officeDocument/2006/relationships/hyperlink" Target="http://www.digikey.com/product-detail/en/fujitsu-electronics-america-inc/MB85RS256BPNF-G-JNERE1/865-1251-1-ND/4022686" TargetMode="External"/><Relationship Id="rId95" Type="http://schemas.openxmlformats.org/officeDocument/2006/relationships/hyperlink" Target="https://www.amazon.com/gp/product/B00425FUW2?ref%5F=sr%5F1%5F4&amp;qid=1492613793&amp;sr=8-4&amp;keywords=solder%20flux&amp;pldnSite=1" TargetMode="External"/><Relationship Id="rId22" Type="http://schemas.openxmlformats.org/officeDocument/2006/relationships/hyperlink" Target="https://www.sparkfun.com/products/10602" TargetMode="External"/><Relationship Id="rId27" Type="http://schemas.openxmlformats.org/officeDocument/2006/relationships/hyperlink" Target="http://smile.amazon.com/Weller-eto-0-8-PRICE-EACH/dp/B0002BSQRQ/ref=sr_1_5?ie=UTF8&amp;qid=1447859438&amp;sr=8-5&amp;keywords=wes51+tips" TargetMode="External"/><Relationship Id="rId43" Type="http://schemas.openxmlformats.org/officeDocument/2006/relationships/hyperlink" Target="https://www.adafruit.com/products/1042" TargetMode="External"/><Relationship Id="rId48" Type="http://schemas.openxmlformats.org/officeDocument/2006/relationships/hyperlink" Target="http://www.digikey.com/product-detail/en/1546111-6/A112348-ND/2221132" TargetMode="External"/><Relationship Id="rId64" Type="http://schemas.openxmlformats.org/officeDocument/2006/relationships/hyperlink" Target="http://www.digikey.com/product-detail/en/RC0603FR-0733KL/311-33.0KHRCT-ND/730106" TargetMode="External"/><Relationship Id="rId69" Type="http://schemas.openxmlformats.org/officeDocument/2006/relationships/hyperlink" Target="http://www.digikey.com/product-detail/en/RC0603FR-071KL/311-1.00KHRCT-ND/729790" TargetMode="External"/><Relationship Id="rId80" Type="http://schemas.openxmlformats.org/officeDocument/2006/relationships/hyperlink" Target="http://www.digikey.com/product-detail/en/lite-on-inc/LTST-C191KSKT/160-1448-1-ND/386838" TargetMode="External"/><Relationship Id="rId85" Type="http://schemas.openxmlformats.org/officeDocument/2006/relationships/hyperlink" Target="http://www.digikey.com/product-detail/en/fairchild-semiconductor/FSA3357K8X/FSA3357K8XCT-ND/821001" TargetMode="External"/><Relationship Id="rId3" Type="http://schemas.openxmlformats.org/officeDocument/2006/relationships/hyperlink" Target="https://www.pjrc.com/store/teensy32.html" TargetMode="External"/><Relationship Id="rId12" Type="http://schemas.openxmlformats.org/officeDocument/2006/relationships/hyperlink" Target="http://www.digikey.com/product-detail/en/LTST-C230KGKT/160-1456-1-ND/386854" TargetMode="External"/><Relationship Id="rId17" Type="http://schemas.openxmlformats.org/officeDocument/2006/relationships/hyperlink" Target="http://www.digikey.com/product-detail/en/PPPC061LFBN-RC/S7039-ND/810178" TargetMode="External"/><Relationship Id="rId25" Type="http://schemas.openxmlformats.org/officeDocument/2006/relationships/hyperlink" Target="http://www.digikey.com/product-detail/en/PPPC081LFBN-RC/S7041-ND/810180" TargetMode="External"/><Relationship Id="rId33" Type="http://schemas.openxmlformats.org/officeDocument/2006/relationships/hyperlink" Target="http://www.digikey.com/product-detail/en/RC1206FR-07270RL/311-270FRCT-ND/731681" TargetMode="External"/><Relationship Id="rId38" Type="http://schemas.openxmlformats.org/officeDocument/2006/relationships/hyperlink" Target="http://www.digikey.com/product-detail/en/CJS-1200TB/563-1022-1-ND/948402" TargetMode="External"/><Relationship Id="rId46" Type="http://schemas.openxmlformats.org/officeDocument/2006/relationships/hyperlink" Target="http://www.digikey.com/product-detail/en/DMB-4771/377-1808-ND/2499327" TargetMode="External"/><Relationship Id="rId59" Type="http://schemas.openxmlformats.org/officeDocument/2006/relationships/hyperlink" Target="http://www.digikey.com/product-detail/en/LTST-C191KRKT/160-1447-1-ND/386836" TargetMode="External"/><Relationship Id="rId67" Type="http://schemas.openxmlformats.org/officeDocument/2006/relationships/hyperlink" Target="http://www.digikey.com/product-detail/en/RC0603FR-07270RL/311-270HRCT-ND/730050" TargetMode="External"/><Relationship Id="rId20" Type="http://schemas.openxmlformats.org/officeDocument/2006/relationships/hyperlink" Target="http://www.digikey.com/product-search/en?vendor=0&amp;keywords=PRPC040SACN-RC" TargetMode="External"/><Relationship Id="rId41" Type="http://schemas.openxmlformats.org/officeDocument/2006/relationships/hyperlink" Target="https://www.pololu.com/product/2842" TargetMode="External"/><Relationship Id="rId54" Type="http://schemas.openxmlformats.org/officeDocument/2006/relationships/hyperlink" Target="http://www.digikey.com/product-detail/en/LR03XWA%2FB/P645-ND/2043736" TargetMode="External"/><Relationship Id="rId62" Type="http://schemas.openxmlformats.org/officeDocument/2006/relationships/hyperlink" Target="https://www.adafruit.com/products/276" TargetMode="External"/><Relationship Id="rId70" Type="http://schemas.openxmlformats.org/officeDocument/2006/relationships/hyperlink" Target="http://www.digikey.com/product-detail/en/RC0603FR-0710KL/311-10.0KHRCT-ND/729827" TargetMode="External"/><Relationship Id="rId75" Type="http://schemas.openxmlformats.org/officeDocument/2006/relationships/hyperlink" Target="http://www.digikey.com/product-detail/en/PSM03A-050Q/993-1030-ND/2384456" TargetMode="External"/><Relationship Id="rId83" Type="http://schemas.openxmlformats.org/officeDocument/2006/relationships/hyperlink" Target="http://www.digikey.com/product-detail/en/recom-power/R-78E5.0-0.5/945-1648-5-ND/2834904" TargetMode="External"/><Relationship Id="rId88" Type="http://schemas.openxmlformats.org/officeDocument/2006/relationships/hyperlink" Target="http://www.digikey.com/product-detail/en/yageo/RC0603FR-075K1L/311-5.10KHRCT-ND/730215" TargetMode="External"/><Relationship Id="rId91" Type="http://schemas.openxmlformats.org/officeDocument/2006/relationships/hyperlink" Target="http://www.digikey.com/product-detail/en/yageo/RC0603FR-07180RL/311-180HRCT-ND/729941" TargetMode="External"/><Relationship Id="rId96" Type="http://schemas.openxmlformats.org/officeDocument/2006/relationships/hyperlink" Target="https://www.amazon.com/gp/product/B00RORBXA8?ref%5F=sr%5F1%5F1&amp;qid=1492614628&amp;sr=8-1&amp;keywords=kim%20wipe&amp;pldnSite=1" TargetMode="External"/><Relationship Id="rId1" Type="http://schemas.openxmlformats.org/officeDocument/2006/relationships/hyperlink" Target="https://www.sparkfun.com/products/13736" TargetMode="External"/><Relationship Id="rId6" Type="http://schemas.openxmlformats.org/officeDocument/2006/relationships/hyperlink" Target="http://www.digikey.com/product-search/en?keywords=300-8763-ND" TargetMode="External"/><Relationship Id="rId15" Type="http://schemas.openxmlformats.org/officeDocument/2006/relationships/hyperlink" Target="http://www.digikey.com/product-detail/en/PPPC041LFBN-RC/S7037-ND/810176" TargetMode="External"/><Relationship Id="rId23" Type="http://schemas.openxmlformats.org/officeDocument/2006/relationships/hyperlink" Target="http://www.digikey.com/product-detail/en/CR2032/P189-ND/31939" TargetMode="External"/><Relationship Id="rId28" Type="http://schemas.openxmlformats.org/officeDocument/2006/relationships/hyperlink" Target="http://smile.amazon.com/gp/product/B003UCODIA?psc=1&amp;redirect=true&amp;ref_=oh_aui_search_detailpage" TargetMode="External"/><Relationship Id="rId36" Type="http://schemas.openxmlformats.org/officeDocument/2006/relationships/hyperlink" Target="http://www.digikey.com/product-detail/en/RC1206JR-07510RL/311-510ERCT-ND/732257" TargetMode="External"/><Relationship Id="rId49" Type="http://schemas.openxmlformats.org/officeDocument/2006/relationships/hyperlink" Target="https://www.adafruit.com/products/1515" TargetMode="External"/><Relationship Id="rId57" Type="http://schemas.openxmlformats.org/officeDocument/2006/relationships/hyperlink" Target="http://www.digikey.com/product-detail/en/LTST-C191KFKT/160-1445-1-ND/386832" TargetMode="External"/><Relationship Id="rId10" Type="http://schemas.openxmlformats.org/officeDocument/2006/relationships/hyperlink" Target="http://www.digikey.com/product-detail/en/RC1206FR-07100RL/311-100FRCT-ND/731438" TargetMode="External"/><Relationship Id="rId31" Type="http://schemas.openxmlformats.org/officeDocument/2006/relationships/hyperlink" Target="http://www.digikey.com/product-detail/en/C1206C104J5RACTU/399-1250-1-ND/411525" TargetMode="External"/><Relationship Id="rId44" Type="http://schemas.openxmlformats.org/officeDocument/2006/relationships/hyperlink" Target="https://oshpark.com/" TargetMode="External"/><Relationship Id="rId52" Type="http://schemas.openxmlformats.org/officeDocument/2006/relationships/hyperlink" Target="http://www.amazon.com/SanDisk-MicroSDHC-Standard-Packaging-SDSDQUAN-008G-G4A/dp/B00M55C0VU/ref=sr_1_1?ie=UTF8&amp;qid=1450704651&amp;sr=8-1&amp;keywords=8+gb+micro+sd+card" TargetMode="External"/><Relationship Id="rId60" Type="http://schemas.openxmlformats.org/officeDocument/2006/relationships/hyperlink" Target="https://www.sparkfun.com/products/298" TargetMode="External"/><Relationship Id="rId65" Type="http://schemas.openxmlformats.org/officeDocument/2006/relationships/hyperlink" Target="http://www.digikey.com/product-detail/en/RC0603FR-07680RL/311-680HRCT-ND/730302" TargetMode="External"/><Relationship Id="rId73" Type="http://schemas.openxmlformats.org/officeDocument/2006/relationships/hyperlink" Target="http://www.amazon.com/SanDisk-microSDHC-Standard-Packaging-SDSQUNC-032G-GN6MA/dp/B010Q57T02/ref=sr_1_2?s=electronics&amp;ie=UTF8&amp;qid=1453839757&amp;sr=1-2&amp;keywords=32+gb+micro+sd+card" TargetMode="External"/><Relationship Id="rId78" Type="http://schemas.openxmlformats.org/officeDocument/2006/relationships/hyperlink" Target="http://www.amazon.com/Raspberry-Pi-Model-Project-Board/dp/B00T2U7R7I/ref=sr_1_2?s=pc&amp;ie=UTF8&amp;qid=1454947769&amp;sr=1-2&amp;keywords=raspberry+pi+2" TargetMode="External"/><Relationship Id="rId81" Type="http://schemas.openxmlformats.org/officeDocument/2006/relationships/hyperlink" Target="https://www.amazon.com/Microsoft-Sculpt-Comfort-Bluetooth-H3S-00003/dp/B00BZC31WQ/ref=sr_1_2?s=pc&amp;ie=UTF8&amp;qid=1472127206&amp;sr=1-2&amp;keywords=bluetooth+mouse&amp;refinements=p_n_feature_keywords_three_browse-bin%3A6004530011" TargetMode="External"/><Relationship Id="rId86" Type="http://schemas.openxmlformats.org/officeDocument/2006/relationships/hyperlink" Target="http://www.digikey.com/product-detail/en/maxim-integrated/MAX4525EUB-/MAX4525EUB--ND/1780258" TargetMode="External"/><Relationship Id="rId94" Type="http://schemas.openxmlformats.org/officeDocument/2006/relationships/hyperlink" Target="https://smile.amazon.com/Leviton-5266-C-Industrial-Grounding-Black-White/dp/B001VXU4TC/ref=pd_sim_60_2?_encoding=UTF8&amp;pd_rd_i=B001VXU4TC&amp;pd_rd_r=50QEHEP21C2CZ5AAT2HB&amp;pd_rd_w=4rONa&amp;pd_rd_wg=ysA8v&amp;psc=1&amp;refRID=50QEHEP21C2CZ5AAT2HB" TargetMode="External"/><Relationship Id="rId99" Type="http://schemas.openxmlformats.org/officeDocument/2006/relationships/vmlDrawing" Target="../drawings/vmlDrawing1.vml"/><Relationship Id="rId4" Type="http://schemas.openxmlformats.org/officeDocument/2006/relationships/hyperlink" Target="http://www.mouser.com/ProductDetail/WIZnet/WIZ820io/?qs=b%252bXOOdUOuvZr7ySTpTRyJw%3D%3D" TargetMode="External"/><Relationship Id="rId9" Type="http://schemas.openxmlformats.org/officeDocument/2006/relationships/hyperlink" Target="https://www.sparkfun.com/products/12965" TargetMode="External"/><Relationship Id="rId13" Type="http://schemas.openxmlformats.org/officeDocument/2006/relationships/hyperlink" Target="http://www.digikey.com/product-detail/en/LTST-C230KRKT/160-1457-1-ND/386856" TargetMode="External"/><Relationship Id="rId18" Type="http://schemas.openxmlformats.org/officeDocument/2006/relationships/hyperlink" Target="http://www.digikey.com/product-detail/en/PPPC141LFBN-RC/S7047-ND/810186" TargetMode="External"/><Relationship Id="rId39" Type="http://schemas.openxmlformats.org/officeDocument/2006/relationships/hyperlink" Target="https://www.sparkfun.com/products/783" TargetMode="External"/><Relationship Id="rId34" Type="http://schemas.openxmlformats.org/officeDocument/2006/relationships/hyperlink" Target="http://www.digikey.com/product-detail/en/RC1206FR-071KL/311-1.00KFRCT-ND/731334" TargetMode="External"/><Relationship Id="rId50" Type="http://schemas.openxmlformats.org/officeDocument/2006/relationships/hyperlink" Target="http://www.digikey.com/product-detail/en/284041-3/A98129-ND/1826991" TargetMode="External"/><Relationship Id="rId55" Type="http://schemas.openxmlformats.org/officeDocument/2006/relationships/hyperlink" Target="http://www.digikey.com/product-detail/en/RC1206FR-07680RL/311-680FRCT-ND/732011" TargetMode="External"/><Relationship Id="rId76" Type="http://schemas.openxmlformats.org/officeDocument/2006/relationships/hyperlink" Target="http://www.digikey.com/product-detail/en/3025010-03/Q853-ND/4341883" TargetMode="External"/><Relationship Id="rId97" Type="http://schemas.openxmlformats.org/officeDocument/2006/relationships/hyperlink" Target="https://smile.amazon.com/Clean-Leaded-Solder-Paste-Grams/dp/B017RSZFQQ/ref=sr_1_2?ie=UTF8&amp;qid=1493128136&amp;sr=8-2&amp;keywords=solder+paste" TargetMode="External"/><Relationship Id="rId7" Type="http://schemas.openxmlformats.org/officeDocument/2006/relationships/hyperlink" Target="http://www.digikey.com/product-detail/en/796634-3/A98224-ND/1827083" TargetMode="External"/><Relationship Id="rId71" Type="http://schemas.openxmlformats.org/officeDocument/2006/relationships/hyperlink" Target="http://www.digikey.com/product-detail/en/CAS-220TB/CAS220GCT-ND/341727" TargetMode="External"/><Relationship Id="rId92" Type="http://schemas.openxmlformats.org/officeDocument/2006/relationships/hyperlink" Target="https://smile.amazon.com/StarTech-com-24x27-5-Inch-Desktop-Anti-Static-M3013/dp/B00009XT3H/ref=sr_1_2?ie=UTF8&amp;qid=1493063891&amp;sr=8-2&amp;keywords=anti+static+mat" TargetMode="External"/><Relationship Id="rId2" Type="http://schemas.openxmlformats.org/officeDocument/2006/relationships/hyperlink" Target="https://www.pjrc.com/store/wiz820_sd_adaptor.html" TargetMode="External"/><Relationship Id="rId29" Type="http://schemas.openxmlformats.org/officeDocument/2006/relationships/hyperlink" Target="http://smile.amazon.com/gp/product/B000B61D22?psc=1&amp;redirect=true&amp;ref_=oh_aui_search_detailpage" TargetMode="External"/><Relationship Id="rId24" Type="http://schemas.openxmlformats.org/officeDocument/2006/relationships/hyperlink" Target="https://www.pololu.com/product/1139" TargetMode="External"/><Relationship Id="rId40" Type="http://schemas.openxmlformats.org/officeDocument/2006/relationships/hyperlink" Target="http://www.digikey.com/product-detail/en/BK-5058/BK-5058-ND/2194769" TargetMode="External"/><Relationship Id="rId45" Type="http://schemas.openxmlformats.org/officeDocument/2006/relationships/hyperlink" Target="https://oshpark.com/" TargetMode="External"/><Relationship Id="rId66" Type="http://schemas.openxmlformats.org/officeDocument/2006/relationships/hyperlink" Target="http://www.digikey.com/product-detail/en/RC0603FR-07120RL/311-120HRCT-ND/729867" TargetMode="External"/><Relationship Id="rId87" Type="http://schemas.openxmlformats.org/officeDocument/2006/relationships/hyperlink" Target="http://www.digikey.com/product-detail/en/samsung-electro-mechanics-america-inc/CL10B273KB8NNNC/1276-2025-1-ND/3890111" TargetMode="External"/><Relationship Id="rId61" Type="http://schemas.openxmlformats.org/officeDocument/2006/relationships/hyperlink" Target="https://www.adafruit.com/products/592" TargetMode="External"/><Relationship Id="rId82" Type="http://schemas.openxmlformats.org/officeDocument/2006/relationships/hyperlink" Target="http://www.digikey.com/product-detail/en/assmann-wsw-components/V2017B/AE10837-ND/3511410" TargetMode="External"/><Relationship Id="rId19" Type="http://schemas.openxmlformats.org/officeDocument/2006/relationships/hyperlink" Target="http://www.digikey.com/product-detail/en/PRPC040SAAN-RC/S1011EC-40-ND/2775214" TargetMode="External"/><Relationship Id="rId14" Type="http://schemas.openxmlformats.org/officeDocument/2006/relationships/hyperlink" Target="http://www.digikey.com/product-detail/en/LTST-C230KFKT/160-2025-1-ND/3711400" TargetMode="External"/><Relationship Id="rId30" Type="http://schemas.openxmlformats.org/officeDocument/2006/relationships/hyperlink" Target="http://www.digikey.com/product-detail/en/MAX485ESA%2B/MAX485ESA%2B-ND/1495323" TargetMode="External"/><Relationship Id="rId35" Type="http://schemas.openxmlformats.org/officeDocument/2006/relationships/hyperlink" Target="http://www.digikey.com/product-detail/en/RC1206JR-0710KL/311-10KERCT-ND/732156" TargetMode="External"/><Relationship Id="rId56" Type="http://schemas.openxmlformats.org/officeDocument/2006/relationships/hyperlink" Target="http://www.digikey.com/product-detail/en/C0603C104J4RACTU/399-1097-1-ND/411372" TargetMode="External"/><Relationship Id="rId77" Type="http://schemas.openxmlformats.org/officeDocument/2006/relationships/hyperlink" Target="http://www.amazon.com/dp/B019K6CRVY/ref=sxr_pa_click_within_right_aps_sr_pg1_2?psc=1" TargetMode="External"/><Relationship Id="rId100" Type="http://schemas.openxmlformats.org/officeDocument/2006/relationships/comments" Target="../comments1.xml"/><Relationship Id="rId8" Type="http://schemas.openxmlformats.org/officeDocument/2006/relationships/hyperlink" Target="http://www.digikey.com/product-detail/en/796639-3/A114504-ND/1131834" TargetMode="External"/><Relationship Id="rId51" Type="http://schemas.openxmlformats.org/officeDocument/2006/relationships/hyperlink" Target="http://www.digikey.com/product-search/en?vendor=0&amp;keywords=dmb-4771-cc" TargetMode="External"/><Relationship Id="rId72" Type="http://schemas.openxmlformats.org/officeDocument/2006/relationships/hyperlink" Target="https://www.amazon.com/SanDisk-Ultra-Micro-Adapter-SDSQUNC-016G-GN6MA/dp/B010Q57SEE/ref=sr_1_6?ie=UTF8&amp;qid=1472133650&amp;sr=8-6&amp;keywords=16+gb+micro+sd+card" TargetMode="External"/><Relationship Id="rId93" Type="http://schemas.openxmlformats.org/officeDocument/2006/relationships/hyperlink" Target="https://smile.amazon.com/Rosewill-Anti-Static-Components-RTK-002-Yellow/dp/B004N8ZQKY/ref=sr_1_2?ie=UTF8&amp;qid=1493063062&amp;sr=8-2&amp;keywords=anti+static+wrist+strap" TargetMode="External"/><Relationship Id="rId9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igikey.com/product-detail/en/keystone-electronics/4707/36-4707-ND/4499300" TargetMode="External"/><Relationship Id="rId21" Type="http://schemas.openxmlformats.org/officeDocument/2006/relationships/hyperlink" Target="http://www.amazon.com/dp/B00NH13LSM/ref=twister_B00DGRUY3M?_encoding=UTF8&amp;psc=1" TargetMode="External"/><Relationship Id="rId42" Type="http://schemas.openxmlformats.org/officeDocument/2006/relationships/hyperlink" Target="https://www.adafruit.com/products/1042" TargetMode="External"/><Relationship Id="rId47" Type="http://schemas.openxmlformats.org/officeDocument/2006/relationships/hyperlink" Target="http://www.digikey.com/product-detail/en/1546111-6/A112348-ND/2221132" TargetMode="External"/><Relationship Id="rId63" Type="http://schemas.openxmlformats.org/officeDocument/2006/relationships/hyperlink" Target="http://www.digikey.com/product-detail/en/RC0603FR-0733KL/311-33.0KHRCT-ND/730106" TargetMode="External"/><Relationship Id="rId68" Type="http://schemas.openxmlformats.org/officeDocument/2006/relationships/hyperlink" Target="http://www.digikey.com/product-detail/en/RC0603FR-071KL/311-1.00KHRCT-ND/729790" TargetMode="External"/><Relationship Id="rId84" Type="http://schemas.openxmlformats.org/officeDocument/2006/relationships/hyperlink" Target="http://www.digikey.com/product-detail/en/fairchild-semiconductor/FSA3357K8X/FSA3357K8XCT-ND/821001" TargetMode="External"/><Relationship Id="rId89" Type="http://schemas.openxmlformats.org/officeDocument/2006/relationships/hyperlink" Target="http://www.digikey.com/product-detail/en/fujitsu-electronics-america-inc/MB85RS256BPNF-G-JNERE1/865-1251-1-ND/4022686" TargetMode="External"/><Relationship Id="rId112" Type="http://schemas.openxmlformats.org/officeDocument/2006/relationships/hyperlink" Target="https://www.amazon.com/Raspberry-Model-1-2GHz-64-bit-quad-core/dp/B01CD5VC92/ref=sr_1_3?s=pc&amp;ie=UTF8&amp;qid=1508247933&amp;sr=1-3&amp;keywords=raspberry+pi+3" TargetMode="External"/><Relationship Id="rId16" Type="http://schemas.openxmlformats.org/officeDocument/2006/relationships/hyperlink" Target="http://www.digikey.com/product-detail/en/PPPC051LFBN-RC/S7038-ND/810177" TargetMode="External"/><Relationship Id="rId107" Type="http://schemas.openxmlformats.org/officeDocument/2006/relationships/hyperlink" Target="https://www.digikey.com/product-detail/en/te-connectivity-amp-connectors/796635-3/796635-3-ND/2223482" TargetMode="External"/><Relationship Id="rId11" Type="http://schemas.openxmlformats.org/officeDocument/2006/relationships/hyperlink" Target="http://www.digikey.com/product-detail/en/RC1206FR-07220RL/311-220FRCT-ND/731640" TargetMode="External"/><Relationship Id="rId32" Type="http://schemas.openxmlformats.org/officeDocument/2006/relationships/hyperlink" Target="http://www.digikey.com/product-detail/en/RC1206FR-07120RL/311-120FRCT-ND/731470" TargetMode="External"/><Relationship Id="rId37" Type="http://schemas.openxmlformats.org/officeDocument/2006/relationships/hyperlink" Target="http://www.digikey.com/product-detail/en/CJS-1200TB/563-1022-1-ND/948402" TargetMode="External"/><Relationship Id="rId53" Type="http://schemas.openxmlformats.org/officeDocument/2006/relationships/hyperlink" Target="http://www.digikey.com/product-detail/en/LR03XWA%2FB/P645-ND/2043736" TargetMode="External"/><Relationship Id="rId58" Type="http://schemas.openxmlformats.org/officeDocument/2006/relationships/hyperlink" Target="http://www.digikey.com/product-detail/en/LTST-C191KRKT/160-1447-1-ND/386836" TargetMode="External"/><Relationship Id="rId74" Type="http://schemas.openxmlformats.org/officeDocument/2006/relationships/hyperlink" Target="http://www.digikey.com/product-detail/en/PSM03A-050Q/993-1030-ND/2384456" TargetMode="External"/><Relationship Id="rId79" Type="http://schemas.openxmlformats.org/officeDocument/2006/relationships/hyperlink" Target="https://www.digikey.com/product-detail/en/lite-on-inc/LTST-C190YKT/160-1184-1-ND/269256" TargetMode="External"/><Relationship Id="rId102" Type="http://schemas.openxmlformats.org/officeDocument/2006/relationships/hyperlink" Target="https://www.alliedelec.com/hitaltech-usa-25-041all01-rmb/70420316/" TargetMode="External"/><Relationship Id="rId123" Type="http://schemas.openxmlformats.org/officeDocument/2006/relationships/hyperlink" Target="https://www.mcmaster.com/" TargetMode="External"/><Relationship Id="rId128" Type="http://schemas.openxmlformats.org/officeDocument/2006/relationships/vmlDrawing" Target="../drawings/vmlDrawing2.vml"/><Relationship Id="rId5" Type="http://schemas.openxmlformats.org/officeDocument/2006/relationships/hyperlink" Target="http://www.digikey.com/product-detail/en/MCP1825S-3302E%2FDB/MCP1825S-3302E%2FDB-ND/1636103" TargetMode="External"/><Relationship Id="rId90" Type="http://schemas.openxmlformats.org/officeDocument/2006/relationships/hyperlink" Target="http://www.digikey.com/product-detail/en/yageo/RC0603FR-07180RL/311-180HRCT-ND/729941" TargetMode="External"/><Relationship Id="rId95" Type="http://schemas.openxmlformats.org/officeDocument/2006/relationships/hyperlink" Target="https://www.amazon.com/gp/product/B00RORBXA8?ref%5F=sr%5F1%5F1&amp;qid=1492614628&amp;sr=8-1&amp;keywords=kim%20wipe&amp;pldnSite=1" TargetMode="External"/><Relationship Id="rId22" Type="http://schemas.openxmlformats.org/officeDocument/2006/relationships/hyperlink" Target="https://www.sparkfun.com/products/10602" TargetMode="External"/><Relationship Id="rId27" Type="http://schemas.openxmlformats.org/officeDocument/2006/relationships/hyperlink" Target="http://smile.amazon.com/Weller-eto-0-8-PRICE-EACH/dp/B0002BSQRQ/ref=sr_1_5?ie=UTF8&amp;qid=1447859438&amp;sr=8-5&amp;keywords=wes51+tips" TargetMode="External"/><Relationship Id="rId43" Type="http://schemas.openxmlformats.org/officeDocument/2006/relationships/hyperlink" Target="https://oshpark.com/" TargetMode="External"/><Relationship Id="rId48" Type="http://schemas.openxmlformats.org/officeDocument/2006/relationships/hyperlink" Target="https://www.adafruit.com/products/1515" TargetMode="External"/><Relationship Id="rId64" Type="http://schemas.openxmlformats.org/officeDocument/2006/relationships/hyperlink" Target="http://www.digikey.com/product-detail/en/RC0603FR-07680RL/311-680HRCT-ND/730302" TargetMode="External"/><Relationship Id="rId69" Type="http://schemas.openxmlformats.org/officeDocument/2006/relationships/hyperlink" Target="http://www.digikey.com/product-detail/en/RC0603FR-0710KL/311-10.0KHRCT-ND/729827" TargetMode="External"/><Relationship Id="rId113" Type="http://schemas.openxmlformats.org/officeDocument/2006/relationships/hyperlink" Target="https://www.digikey.com/products/en/hardware-fasteners-accessories/board-spacers-standoffs/582?k=&amp;pkeyword=&amp;pv577=1892&amp;FV=740028%2C2dc1c06%2C1a380001%2C1cbc0025%2Cffe00246%2Cb94008f&amp;mnonly=0&amp;ColumnSort=0&amp;page=1&amp;quantity=0&amp;ptm=0&amp;fid=0&amp;pageSize=25" TargetMode="External"/><Relationship Id="rId118" Type="http://schemas.openxmlformats.org/officeDocument/2006/relationships/hyperlink" Target="https://www.digikey.com/product-detail/en/maxim-integrated/MAX3485CSA-T/MAX3485CSA-CT-ND/5405739" TargetMode="External"/><Relationship Id="rId80" Type="http://schemas.openxmlformats.org/officeDocument/2006/relationships/hyperlink" Target="https://www.amazon.com/Microsoft-Sculpt-Comfort-Bluetooth-H3S-00003/dp/B00BZC31WQ/ref=sr_1_2?s=pc&amp;ie=UTF8&amp;qid=1472127206&amp;sr=1-2&amp;keywords=bluetooth+mouse&amp;refinements=p_n_feature_keywords_three_browse-bin%3A6004530011" TargetMode="External"/><Relationship Id="rId85" Type="http://schemas.openxmlformats.org/officeDocument/2006/relationships/hyperlink" Target="http://www.digikey.com/product-detail/en/maxim-integrated/MAX4525EUB-/MAX4525EUB--ND/1780258" TargetMode="External"/><Relationship Id="rId12" Type="http://schemas.openxmlformats.org/officeDocument/2006/relationships/hyperlink" Target="http://www.digikey.com/product-detail/en/LTST-C230KGKT/160-1456-1-ND/386854" TargetMode="External"/><Relationship Id="rId17" Type="http://schemas.openxmlformats.org/officeDocument/2006/relationships/hyperlink" Target="http://www.digikey.com/product-detail/en/PPPC061LFBN-RC/S7039-ND/810178" TargetMode="External"/><Relationship Id="rId33" Type="http://schemas.openxmlformats.org/officeDocument/2006/relationships/hyperlink" Target="http://www.digikey.com/product-detail/en/RC1206FR-07270RL/311-270FRCT-ND/731681" TargetMode="External"/><Relationship Id="rId38" Type="http://schemas.openxmlformats.org/officeDocument/2006/relationships/hyperlink" Target="https://www.sparkfun.com/products/783" TargetMode="External"/><Relationship Id="rId59" Type="http://schemas.openxmlformats.org/officeDocument/2006/relationships/hyperlink" Target="https://www.sparkfun.com/products/298" TargetMode="External"/><Relationship Id="rId103" Type="http://schemas.openxmlformats.org/officeDocument/2006/relationships/hyperlink" Target="https://www.pololu.com/product/2858" TargetMode="External"/><Relationship Id="rId108" Type="http://schemas.openxmlformats.org/officeDocument/2006/relationships/hyperlink" Target="https://www.digikey.com/product-detail/en/yageo/RC0603FR-0747KL/311-47.0KHRCT-ND/730200" TargetMode="External"/><Relationship Id="rId124" Type="http://schemas.openxmlformats.org/officeDocument/2006/relationships/hyperlink" Target="https://oshpark.com/" TargetMode="External"/><Relationship Id="rId129" Type="http://schemas.openxmlformats.org/officeDocument/2006/relationships/comments" Target="../comments2.xml"/><Relationship Id="rId54" Type="http://schemas.openxmlformats.org/officeDocument/2006/relationships/hyperlink" Target="http://www.digikey.com/product-detail/en/RC1206FR-07680RL/311-680FRCT-ND/732011" TargetMode="External"/><Relationship Id="rId70" Type="http://schemas.openxmlformats.org/officeDocument/2006/relationships/hyperlink" Target="http://www.digikey.com/product-detail/en/CAS-220TB/CAS220GCT-ND/341727" TargetMode="External"/><Relationship Id="rId75" Type="http://schemas.openxmlformats.org/officeDocument/2006/relationships/hyperlink" Target="http://www.digikey.com/product-detail/en/3025010-03/Q853-ND/4341883" TargetMode="External"/><Relationship Id="rId91" Type="http://schemas.openxmlformats.org/officeDocument/2006/relationships/hyperlink" Target="https://smile.amazon.com/StarTech-com-24x27-5-Inch-Desktop-Anti-Static-M3013/dp/B00009XT3H/ref=sr_1_2?ie=UTF8&amp;qid=1493063891&amp;sr=8-2&amp;keywords=anti+static+mat" TargetMode="External"/><Relationship Id="rId96" Type="http://schemas.openxmlformats.org/officeDocument/2006/relationships/hyperlink" Target="https://smile.amazon.com/Clean-Leaded-Solder-Paste-Grams/dp/B017RSZFQQ/ref=sr_1_2?ie=UTF8&amp;qid=1493128136&amp;sr=8-2&amp;keywords=solder+paste" TargetMode="External"/><Relationship Id="rId1" Type="http://schemas.openxmlformats.org/officeDocument/2006/relationships/hyperlink" Target="https://www.sparkfun.com/products/13736" TargetMode="External"/><Relationship Id="rId6" Type="http://schemas.openxmlformats.org/officeDocument/2006/relationships/hyperlink" Target="http://www.digikey.com/product-search/en?keywords=300-8763-ND" TargetMode="External"/><Relationship Id="rId23" Type="http://schemas.openxmlformats.org/officeDocument/2006/relationships/hyperlink" Target="http://www.digikey.com/product-detail/en/CR2032/P189-ND/31939" TargetMode="External"/><Relationship Id="rId28" Type="http://schemas.openxmlformats.org/officeDocument/2006/relationships/hyperlink" Target="http://smile.amazon.com/gp/product/B003UCODIA?psc=1&amp;redirect=true&amp;ref_=oh_aui_search_detailpage" TargetMode="External"/><Relationship Id="rId49" Type="http://schemas.openxmlformats.org/officeDocument/2006/relationships/hyperlink" Target="http://www.digikey.com/product-detail/en/284041-3/A98129-ND/1826991" TargetMode="External"/><Relationship Id="rId114" Type="http://schemas.openxmlformats.org/officeDocument/2006/relationships/hyperlink" Target="https://www.digikey.com/product-detail/en/keystone-electronics/29301/36-29301-ND/1532984" TargetMode="External"/><Relationship Id="rId119" Type="http://schemas.openxmlformats.org/officeDocument/2006/relationships/hyperlink" Target="https://www.digikey.com/product-detail/en/phoenix-contact/1786417/277-5985-ND/349072" TargetMode="External"/><Relationship Id="rId44" Type="http://schemas.openxmlformats.org/officeDocument/2006/relationships/hyperlink" Target="https://oshpark.com/" TargetMode="External"/><Relationship Id="rId60" Type="http://schemas.openxmlformats.org/officeDocument/2006/relationships/hyperlink" Target="https://www.adafruit.com/products/592" TargetMode="External"/><Relationship Id="rId65" Type="http://schemas.openxmlformats.org/officeDocument/2006/relationships/hyperlink" Target="http://www.digikey.com/product-detail/en/RC0603FR-07120RL/311-120HRCT-ND/729867" TargetMode="External"/><Relationship Id="rId81" Type="http://schemas.openxmlformats.org/officeDocument/2006/relationships/hyperlink" Target="http://www.digikey.com/product-detail/en/assmann-wsw-components/V2017B/AE10837-ND/3511410" TargetMode="External"/><Relationship Id="rId86" Type="http://schemas.openxmlformats.org/officeDocument/2006/relationships/hyperlink" Target="http://www.digikey.com/product-detail/en/samsung-electro-mechanics-america-inc/CL10B273KB8NNNC/1276-2025-1-ND/3890111" TargetMode="External"/><Relationship Id="rId13" Type="http://schemas.openxmlformats.org/officeDocument/2006/relationships/hyperlink" Target="http://www.digikey.com/product-detail/en/LTST-C230KRKT/160-1457-1-ND/386856" TargetMode="External"/><Relationship Id="rId18" Type="http://schemas.openxmlformats.org/officeDocument/2006/relationships/hyperlink" Target="http://www.digikey.com/product-detail/en/PPPC141LFBN-RC/S7047-ND/810186" TargetMode="External"/><Relationship Id="rId39" Type="http://schemas.openxmlformats.org/officeDocument/2006/relationships/hyperlink" Target="http://www.digikey.com/product-detail/en/BK-5058/BK-5058-ND/2194769" TargetMode="External"/><Relationship Id="rId109" Type="http://schemas.openxmlformats.org/officeDocument/2006/relationships/hyperlink" Target="https://www.digikey.com/product-detail/en/samsung-electro-mechanics-america-inc/CL10B105KP8NNNC/1276-1946-1-ND/3890032" TargetMode="External"/><Relationship Id="rId34" Type="http://schemas.openxmlformats.org/officeDocument/2006/relationships/hyperlink" Target="http://www.digikey.com/product-detail/en/RC1206FR-071KL/311-1.00KFRCT-ND/731334" TargetMode="External"/><Relationship Id="rId50" Type="http://schemas.openxmlformats.org/officeDocument/2006/relationships/hyperlink" Target="http://www.digikey.com/product-search/en?vendor=0&amp;keywords=dmb-4771-cc" TargetMode="External"/><Relationship Id="rId55" Type="http://schemas.openxmlformats.org/officeDocument/2006/relationships/hyperlink" Target="http://www.digikey.com/product-detail/en/C0603C104J4RACTU/399-1097-1-ND/411372" TargetMode="External"/><Relationship Id="rId76" Type="http://schemas.openxmlformats.org/officeDocument/2006/relationships/hyperlink" Target="http://www.amazon.com/dp/B019K6CRVY/ref=sxr_pa_click_within_right_aps_sr_pg1_2?psc=1" TargetMode="External"/><Relationship Id="rId97" Type="http://schemas.openxmlformats.org/officeDocument/2006/relationships/hyperlink" Target="https://oshpark.com/" TargetMode="External"/><Relationship Id="rId104" Type="http://schemas.openxmlformats.org/officeDocument/2006/relationships/hyperlink" Target="https://www.digikey.com/product-detail/en/texas-instruments/TPSM84205EAB/296-47074-ND/7561620" TargetMode="External"/><Relationship Id="rId120" Type="http://schemas.openxmlformats.org/officeDocument/2006/relationships/hyperlink" Target="https://www.digikey.com/product-detail/en/phoenix-contact/1786187/277-5720-ND/349067" TargetMode="External"/><Relationship Id="rId125" Type="http://schemas.openxmlformats.org/officeDocument/2006/relationships/hyperlink" Target="https://oshpark.com/" TargetMode="External"/><Relationship Id="rId7" Type="http://schemas.openxmlformats.org/officeDocument/2006/relationships/hyperlink" Target="http://www.digikey.com/product-detail/en/796634-3/A98224-ND/1827083" TargetMode="External"/><Relationship Id="rId71" Type="http://schemas.openxmlformats.org/officeDocument/2006/relationships/hyperlink" Target="https://www.amazon.com/SanDisk-Ultra-Micro-Adapter-SDSQUNC-016G-GN6MA/dp/B010Q57SEE/ref=sr_1_6?ie=UTF8&amp;qid=1472133650&amp;sr=8-6&amp;keywords=16+gb+micro+sd+card" TargetMode="External"/><Relationship Id="rId92" Type="http://schemas.openxmlformats.org/officeDocument/2006/relationships/hyperlink" Target="https://smile.amazon.com/Rosewill-Anti-Static-Components-RTK-002-Yellow/dp/B004N8ZQKY/ref=sr_1_2?ie=UTF8&amp;qid=1493063062&amp;sr=8-2&amp;keywords=anti+static+wrist+strap" TargetMode="External"/><Relationship Id="rId2" Type="http://schemas.openxmlformats.org/officeDocument/2006/relationships/hyperlink" Target="https://www.pjrc.com/store/wiz820_sd_adaptor.html" TargetMode="External"/><Relationship Id="rId29" Type="http://schemas.openxmlformats.org/officeDocument/2006/relationships/hyperlink" Target="http://smile.amazon.com/gp/product/B000B61D22?psc=1&amp;redirect=true&amp;ref_=oh_aui_search_detailpage" TargetMode="External"/><Relationship Id="rId24" Type="http://schemas.openxmlformats.org/officeDocument/2006/relationships/hyperlink" Target="https://www.pololu.com/product/1139" TargetMode="External"/><Relationship Id="rId40" Type="http://schemas.openxmlformats.org/officeDocument/2006/relationships/hyperlink" Target="https://www.pololu.com/product/2842" TargetMode="External"/><Relationship Id="rId45" Type="http://schemas.openxmlformats.org/officeDocument/2006/relationships/hyperlink" Target="http://www.digikey.com/product-detail/en/DMB-4771/377-1808-ND/2499327" TargetMode="External"/><Relationship Id="rId66" Type="http://schemas.openxmlformats.org/officeDocument/2006/relationships/hyperlink" Target="http://www.digikey.com/product-detail/en/RC0603FR-07270RL/311-270HRCT-ND/730050" TargetMode="External"/><Relationship Id="rId87" Type="http://schemas.openxmlformats.org/officeDocument/2006/relationships/hyperlink" Target="http://www.digikey.com/product-detail/en/yageo/RC0603FR-075K1L/311-5.10KHRCT-ND/730215" TargetMode="External"/><Relationship Id="rId110" Type="http://schemas.openxmlformats.org/officeDocument/2006/relationships/hyperlink" Target="https://www.digikey.com/product-detail/en/murata-electronics-north-america/GRM188C80E476ME05D/490-13244-1-ND/5877452" TargetMode="External"/><Relationship Id="rId115" Type="http://schemas.openxmlformats.org/officeDocument/2006/relationships/hyperlink" Target="https://www.amazon.com/uxcell-M2-5x6mm-Stainless-Phillips-Machine/dp/B01LK6XXCE/ref=sr_1_3?ie=UTF8&amp;qid=1508251449&amp;sr=8-3&amp;keywords=m2.5x0.45+6mm" TargetMode="External"/><Relationship Id="rId61" Type="http://schemas.openxmlformats.org/officeDocument/2006/relationships/hyperlink" Target="https://www.adafruit.com/products/276" TargetMode="External"/><Relationship Id="rId82" Type="http://schemas.openxmlformats.org/officeDocument/2006/relationships/hyperlink" Target="http://www.digikey.com/product-detail/en/recom-power/R-78E5.0-0.5/945-1648-5-ND/2834904" TargetMode="External"/><Relationship Id="rId19" Type="http://schemas.openxmlformats.org/officeDocument/2006/relationships/hyperlink" Target="http://www.digikey.com/product-detail/en/PRPC040SAAN-RC/S1011EC-40-ND/2775214" TargetMode="External"/><Relationship Id="rId14" Type="http://schemas.openxmlformats.org/officeDocument/2006/relationships/hyperlink" Target="http://www.digikey.com/product-detail/en/LTST-C230KFKT/160-2025-1-ND/3711400" TargetMode="External"/><Relationship Id="rId30" Type="http://schemas.openxmlformats.org/officeDocument/2006/relationships/hyperlink" Target="http://www.digikey.com/product-detail/en/MAX485ESA%2B/MAX485ESA%2B-ND/1495323" TargetMode="External"/><Relationship Id="rId35" Type="http://schemas.openxmlformats.org/officeDocument/2006/relationships/hyperlink" Target="http://www.digikey.com/product-detail/en/RC1206JR-0710KL/311-10KERCT-ND/732156" TargetMode="External"/><Relationship Id="rId56" Type="http://schemas.openxmlformats.org/officeDocument/2006/relationships/hyperlink" Target="http://www.digikey.com/product-detail/en/LTST-C191KFKT/160-1445-1-ND/386832" TargetMode="External"/><Relationship Id="rId77" Type="http://schemas.openxmlformats.org/officeDocument/2006/relationships/hyperlink" Target="http://www.amazon.com/Raspberry-Pi-Model-Project-Board/dp/B00T2U7R7I/ref=sr_1_2?s=pc&amp;ie=UTF8&amp;qid=1454947769&amp;sr=1-2&amp;keywords=raspberry+pi+2" TargetMode="External"/><Relationship Id="rId100" Type="http://schemas.openxmlformats.org/officeDocument/2006/relationships/hyperlink" Target="https://www.digikey.com/product-detail/en/littelfuse-inc/SMBJ5.0A/SMBJ5.0ALFCT-ND/285951" TargetMode="External"/><Relationship Id="rId105" Type="http://schemas.openxmlformats.org/officeDocument/2006/relationships/hyperlink" Target="https://www.digikey.com/product-detail/en/cui-inc/PJ-002A/CP-002A-ND/96962" TargetMode="External"/><Relationship Id="rId126" Type="http://schemas.openxmlformats.org/officeDocument/2006/relationships/hyperlink" Target="https://www.digikey.com/product-detail/en/sullins-connector-solutions/PPTC202LFBN-RC/S6104-ND/807240" TargetMode="External"/><Relationship Id="rId8" Type="http://schemas.openxmlformats.org/officeDocument/2006/relationships/hyperlink" Target="http://www.digikey.com/product-detail/en/796639-3/A114504-ND/1131834" TargetMode="External"/><Relationship Id="rId51" Type="http://schemas.openxmlformats.org/officeDocument/2006/relationships/hyperlink" Target="http://www.amazon.com/SanDisk-MicroSDHC-Standard-Packaging-SDSDQUAN-008G-G4A/dp/B00M55C0VU/ref=sr_1_1?ie=UTF8&amp;qid=1450704651&amp;sr=8-1&amp;keywords=8+gb+micro+sd+card" TargetMode="External"/><Relationship Id="rId72" Type="http://schemas.openxmlformats.org/officeDocument/2006/relationships/hyperlink" Target="http://www.amazon.com/SanDisk-microSDHC-Standard-Packaging-SDSQUNC-032G-GN6MA/dp/B010Q57T02/ref=sr_1_2?s=electronics&amp;ie=UTF8&amp;qid=1453839757&amp;sr=1-2&amp;keywords=32+gb+micro+sd+card" TargetMode="External"/><Relationship Id="rId93" Type="http://schemas.openxmlformats.org/officeDocument/2006/relationships/hyperlink" Target="https://smile.amazon.com/Leviton-5266-C-Industrial-Grounding-Black-White/dp/B001VXU4TC/ref=pd_sim_60_2?_encoding=UTF8&amp;pd_rd_i=B001VXU4TC&amp;pd_rd_r=50QEHEP21C2CZ5AAT2HB&amp;pd_rd_w=4rONa&amp;pd_rd_wg=ysA8v&amp;psc=1&amp;refRID=50QEHEP21C2CZ5AAT2HB" TargetMode="External"/><Relationship Id="rId98" Type="http://schemas.openxmlformats.org/officeDocument/2006/relationships/hyperlink" Target="https://www.digikey.com/product-detail/en/diodes-incorporated/DMG2305UX-13/DMG2305UX-13DICT-ND/4251589" TargetMode="External"/><Relationship Id="rId121" Type="http://schemas.openxmlformats.org/officeDocument/2006/relationships/hyperlink" Target="https://www.mcmaster.com/" TargetMode="External"/><Relationship Id="rId3" Type="http://schemas.openxmlformats.org/officeDocument/2006/relationships/hyperlink" Target="https://www.pjrc.com/store/teensy32.html" TargetMode="External"/><Relationship Id="rId25" Type="http://schemas.openxmlformats.org/officeDocument/2006/relationships/hyperlink" Target="http://www.digikey.com/product-detail/en/PPPC081LFBN-RC/S7041-ND/810180" TargetMode="External"/><Relationship Id="rId46" Type="http://schemas.openxmlformats.org/officeDocument/2006/relationships/hyperlink" Target="http://www.digikey.com/product-detail/en/DMB-4770/377-1807-ND/2499326" TargetMode="External"/><Relationship Id="rId67" Type="http://schemas.openxmlformats.org/officeDocument/2006/relationships/hyperlink" Target="http://www.digikey.com/product-detail/en/RC0603FR-07510RL/311-510HRCT-ND/730232" TargetMode="External"/><Relationship Id="rId116" Type="http://schemas.openxmlformats.org/officeDocument/2006/relationships/hyperlink" Target="https://www.amazon.com/Phillips-Countersunk-Machine-Stainless-100-piece/dp/B06XCBL7Q6/ref=sr_1_9?ie=UTF8&amp;qid=1508251043&amp;sr=8-9&amp;keywords=m2.5x0.45%2Bcountersunk&amp;th=1" TargetMode="External"/><Relationship Id="rId20" Type="http://schemas.openxmlformats.org/officeDocument/2006/relationships/hyperlink" Target="http://www.digikey.com/product-search/en?vendor=0&amp;keywords=PRPC040SACN-RC" TargetMode="External"/><Relationship Id="rId41" Type="http://schemas.openxmlformats.org/officeDocument/2006/relationships/hyperlink" Target="http://www.digikey.com/product-detail/en/CJS-1201TB/563-1024-1-ND/948406" TargetMode="External"/><Relationship Id="rId62" Type="http://schemas.openxmlformats.org/officeDocument/2006/relationships/hyperlink" Target="https://www.adafruit.com/products/1994" TargetMode="External"/><Relationship Id="rId83" Type="http://schemas.openxmlformats.org/officeDocument/2006/relationships/hyperlink" Target="http://www.digikey.com/product-detail/en/fairchild-semiconductor/NC7SB3157P6X/NC7SB3157P6XCT-ND/1305384" TargetMode="External"/><Relationship Id="rId88" Type="http://schemas.openxmlformats.org/officeDocument/2006/relationships/hyperlink" Target="https://oshpark.com/" TargetMode="External"/><Relationship Id="rId111" Type="http://schemas.openxmlformats.org/officeDocument/2006/relationships/hyperlink" Target="https://www.digikey.com/product-detail/en/recom-power/R-78E5.0-1.0/945-2201-ND/4930585" TargetMode="External"/><Relationship Id="rId15" Type="http://schemas.openxmlformats.org/officeDocument/2006/relationships/hyperlink" Target="http://www.digikey.com/product-detail/en/PPPC041LFBN-RC/S7037-ND/810176" TargetMode="External"/><Relationship Id="rId36" Type="http://schemas.openxmlformats.org/officeDocument/2006/relationships/hyperlink" Target="http://www.digikey.com/product-detail/en/RC1206JR-07510RL/311-510ERCT-ND/732257" TargetMode="External"/><Relationship Id="rId57" Type="http://schemas.openxmlformats.org/officeDocument/2006/relationships/hyperlink" Target="http://www.digikey.com/product-detail/en/LTST-C191KGKT/160-1446-1-ND/386834" TargetMode="External"/><Relationship Id="rId106" Type="http://schemas.openxmlformats.org/officeDocument/2006/relationships/hyperlink" Target="https://www.digikey.com/product-detail/en/mpd-memory-protection-devices/EP502A/EP502A-ND/2439554" TargetMode="External"/><Relationship Id="rId127" Type="http://schemas.openxmlformats.org/officeDocument/2006/relationships/hyperlink" Target="https://www.digikey.com/product-detail/en/diodes-incorporated/2N7002K-7/2N7002K-7DICT-ND/3053305" TargetMode="External"/><Relationship Id="rId10" Type="http://schemas.openxmlformats.org/officeDocument/2006/relationships/hyperlink" Target="http://www.digikey.com/product-detail/en/RC1206FR-07100RL/311-100FRCT-ND/731438" TargetMode="External"/><Relationship Id="rId31" Type="http://schemas.openxmlformats.org/officeDocument/2006/relationships/hyperlink" Target="http://www.digikey.com/product-detail/en/C1206C104J5RACTU/399-1250-1-ND/411525" TargetMode="External"/><Relationship Id="rId52" Type="http://schemas.openxmlformats.org/officeDocument/2006/relationships/hyperlink" Target="http://www.digikey.com/product-detail/en/ETH/ETH-ND/251751" TargetMode="External"/><Relationship Id="rId73" Type="http://schemas.openxmlformats.org/officeDocument/2006/relationships/hyperlink" Target="https://www.pololu.com/product/2843" TargetMode="External"/><Relationship Id="rId78" Type="http://schemas.openxmlformats.org/officeDocument/2006/relationships/hyperlink" Target="http://www.amazon.com/CanaKit-Raspberry-Supply-Adapter-Charger/dp/B00MARDJZ4/ref=pd_bxgy_147_img_3?ie=UTF8&amp;refRID=0QMB9BBQA46GSZDTZ2CChttp://www.amazon.com/CanaKit-Raspberry-Supply-Adapter-Charger/dp/B00MARDJZ4/ref=pd_bxgy_147_img_3?ie=UTF8&amp;refRID=0QMB9BB" TargetMode="External"/><Relationship Id="rId94" Type="http://schemas.openxmlformats.org/officeDocument/2006/relationships/hyperlink" Target="https://www.amazon.com/gp/product/B00425FUW2?ref%5F=sr%5F1%5F4&amp;qid=1492613793&amp;sr=8-4&amp;keywords=solder%20flux&amp;pldnSite=1" TargetMode="External"/><Relationship Id="rId99" Type="http://schemas.openxmlformats.org/officeDocument/2006/relationships/hyperlink" Target="https://www.digikey.com/product-detail/en/bourns-inc/MF-MSMF250-16X-2/MF-MSMF250-16X-2CT-ND/3437789" TargetMode="External"/><Relationship Id="rId101" Type="http://schemas.openxmlformats.org/officeDocument/2006/relationships/hyperlink" Target="https://www.digikey.com/product-detail/en/nexperia-usa-inc/BCM857BS115/1727-4883-1-ND/2531387" TargetMode="External"/><Relationship Id="rId122" Type="http://schemas.openxmlformats.org/officeDocument/2006/relationships/hyperlink" Target="https://www.mcmaster.com/" TargetMode="External"/><Relationship Id="rId4" Type="http://schemas.openxmlformats.org/officeDocument/2006/relationships/hyperlink" Target="http://www.mouser.com/ProductDetail/WIZnet/WIZ820io/?qs=b%252bXOOdUOuvZr7ySTpTRyJw%3D%3D" TargetMode="External"/><Relationship Id="rId9" Type="http://schemas.openxmlformats.org/officeDocument/2006/relationships/hyperlink" Target="https://www.sparkfun.com/products/12965" TargetMode="External"/><Relationship Id="rId26" Type="http://schemas.openxmlformats.org/officeDocument/2006/relationships/hyperlink" Target="http://smile.amazon.com/Weller-WES51-Analog-Soldering-Station/dp/B000BRC2XU/ref=sr_1_17?ie=UTF8&amp;qid=1447858965&amp;sr=8-17&amp;keywords=soldering+iro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liedelec.com/hitaltech-usa-25-041all01-rmb/70420316/" TargetMode="External"/><Relationship Id="rId13" Type="http://schemas.openxmlformats.org/officeDocument/2006/relationships/hyperlink" Target="https://www.digikey.com/product-detail/en/phoenix-contact/1786187/277-5720-ND/349067" TargetMode="External"/><Relationship Id="rId3" Type="http://schemas.openxmlformats.org/officeDocument/2006/relationships/hyperlink" Target="http://www.digikey.com/product-detail/en/RC0603FR-07510RL/311-510HRCT-ND/730232" TargetMode="External"/><Relationship Id="rId7" Type="http://schemas.openxmlformats.org/officeDocument/2006/relationships/hyperlink" Target="https://www.amazon.com/SanDisk-Ultra-Micro-Adapter-SDSQUNC-016G-GN6MA/dp/B010Q57SEE/ref=sr_1_6?ie=UTF8&amp;qid=1472133650&amp;sr=8-6&amp;keywords=16+gb+micro+sd+card" TargetMode="External"/><Relationship Id="rId12" Type="http://schemas.openxmlformats.org/officeDocument/2006/relationships/hyperlink" Target="https://www.digikey.com/product-detail/en/phoenix-contact/1786417/277-5985-ND/349072" TargetMode="External"/><Relationship Id="rId2" Type="http://schemas.openxmlformats.org/officeDocument/2006/relationships/hyperlink" Target="http://www.digikey.com/product-detail/en/CJS-1201TB/563-1024-1-ND/948406" TargetMode="External"/><Relationship Id="rId16" Type="http://schemas.openxmlformats.org/officeDocument/2006/relationships/hyperlink" Target="https://www.digikey.com/product-detail/en/sullins-connector-solutions/PPTC202LFBN-RC/S6104-ND/807240" TargetMode="External"/><Relationship Id="rId1" Type="http://schemas.openxmlformats.org/officeDocument/2006/relationships/hyperlink" Target="http://www.digikey.com/product-detail/en/2N7002LT1G/2N7002LT1GOSCT-ND/917791" TargetMode="External"/><Relationship Id="rId6" Type="http://schemas.openxmlformats.org/officeDocument/2006/relationships/hyperlink" Target="http://www.digikey.com/product-detail/en/CAS-220TB/CAS220GCT-ND/341727" TargetMode="External"/><Relationship Id="rId11" Type="http://schemas.openxmlformats.org/officeDocument/2006/relationships/hyperlink" Target="https://www.digikey.com/product-detail/en/maxim-integrated/MAX3485CSA-T/MAX3485CSA-CT-ND/5405739" TargetMode="External"/><Relationship Id="rId5" Type="http://schemas.openxmlformats.org/officeDocument/2006/relationships/hyperlink" Target="http://www.digikey.com/product-detail/en/RC0603FR-0710KL/311-10.0KHRCT-ND/729827" TargetMode="External"/><Relationship Id="rId15" Type="http://schemas.openxmlformats.org/officeDocument/2006/relationships/hyperlink" Target="https://oshpark.com/" TargetMode="External"/><Relationship Id="rId10" Type="http://schemas.openxmlformats.org/officeDocument/2006/relationships/hyperlink" Target="https://www.amazon.com/Raspberry-Model-1-2GHz-64-bit-quad-core/dp/B01CD5VC92/ref=sr_1_3?s=pc&amp;ie=UTF8&amp;qid=1508247933&amp;sr=1-3&amp;keywords=raspberry+pi+3" TargetMode="External"/><Relationship Id="rId4" Type="http://schemas.openxmlformats.org/officeDocument/2006/relationships/hyperlink" Target="http://www.digikey.com/product-detail/en/RC0603FR-071KL/311-1.00KHRCT-ND/729790" TargetMode="External"/><Relationship Id="rId9" Type="http://schemas.openxmlformats.org/officeDocument/2006/relationships/hyperlink" Target="https://www.digikey.com/product-detail/en/recom-power/R-78E5.0-1.0/945-2201-ND/4930585" TargetMode="External"/><Relationship Id="rId14" Type="http://schemas.openxmlformats.org/officeDocument/2006/relationships/hyperlink" Target="https://www.mcmaster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2"/>
  <sheetViews>
    <sheetView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J20" sqref="A1:XFD1048576"/>
    </sheetView>
  </sheetViews>
  <sheetFormatPr defaultRowHeight="15" x14ac:dyDescent="0.25"/>
  <cols>
    <col min="1" max="1" width="32.7109375" bestFit="1" customWidth="1"/>
    <col min="2" max="2" width="12.85546875" customWidth="1"/>
    <col min="3" max="3" width="10.5703125" style="2" bestFit="1" customWidth="1"/>
    <col min="4" max="4" width="9.85546875" bestFit="1" customWidth="1"/>
    <col min="5" max="5" width="9.85546875" customWidth="1"/>
    <col min="6" max="7" width="10.42578125" hidden="1" customWidth="1"/>
    <col min="8" max="8" width="11.140625" customWidth="1"/>
    <col min="9" max="9" width="11.140625" hidden="1" customWidth="1"/>
    <col min="10" max="10" width="10.140625" customWidth="1"/>
    <col min="11" max="11" width="14.28515625" customWidth="1"/>
    <col min="12" max="12" width="9.140625" customWidth="1"/>
    <col min="13" max="13" width="15.28515625" customWidth="1"/>
    <col min="14" max="14" width="11.85546875" customWidth="1"/>
    <col min="15" max="15" width="9" customWidth="1"/>
  </cols>
  <sheetData>
    <row r="1" spans="1:15" ht="30" x14ac:dyDescent="0.25">
      <c r="C1" s="2" t="s">
        <v>102</v>
      </c>
      <c r="E1" t="s">
        <v>102</v>
      </c>
      <c r="F1" s="26" t="s">
        <v>316</v>
      </c>
      <c r="G1" s="26" t="s">
        <v>317</v>
      </c>
      <c r="H1" s="26" t="s">
        <v>323</v>
      </c>
      <c r="I1" s="23" t="s">
        <v>74</v>
      </c>
    </row>
    <row r="2" spans="1:15" s="22" customFormat="1" ht="15.75" thickBot="1" x14ac:dyDescent="0.3">
      <c r="A2" s="10" t="s">
        <v>0</v>
      </c>
      <c r="B2" s="10" t="s">
        <v>8</v>
      </c>
      <c r="C2" s="11" t="s">
        <v>4</v>
      </c>
      <c r="D2" s="10" t="s">
        <v>3</v>
      </c>
      <c r="E2" s="21" t="s">
        <v>41</v>
      </c>
      <c r="F2" s="31">
        <v>3</v>
      </c>
      <c r="G2" s="31"/>
      <c r="H2" s="31"/>
      <c r="I2" s="13"/>
      <c r="J2" s="13" t="s">
        <v>128</v>
      </c>
      <c r="K2" s="10" t="s">
        <v>30</v>
      </c>
      <c r="L2" s="10" t="s">
        <v>1</v>
      </c>
      <c r="M2" s="10" t="s">
        <v>2</v>
      </c>
      <c r="N2" s="22" t="s">
        <v>34</v>
      </c>
    </row>
    <row r="3" spans="1:15" x14ac:dyDescent="0.25">
      <c r="A3" s="25" t="s">
        <v>73</v>
      </c>
      <c r="B3" s="6" t="s">
        <v>31</v>
      </c>
      <c r="C3" s="5">
        <f>1.929*1.654*5/3</f>
        <v>5.3176100000000002</v>
      </c>
      <c r="D3" s="4">
        <f>IF(M3&gt;=(K3-L3),0,J3)</f>
        <v>0</v>
      </c>
      <c r="E3" s="15">
        <f>D3*C3</f>
        <v>0</v>
      </c>
      <c r="F3" s="12">
        <f>ROUNDUP($F$2*1,0)</f>
        <v>3</v>
      </c>
      <c r="G3" s="12">
        <f>ROUNDUP($F$2*1,0)</f>
        <v>3</v>
      </c>
      <c r="H3" s="12">
        <f>ROUNDUP($F$2*0,0)</f>
        <v>0</v>
      </c>
      <c r="I3" s="12">
        <f>ROUNDUP($F$2*0,0)</f>
        <v>0</v>
      </c>
      <c r="J3" s="12">
        <v>0</v>
      </c>
      <c r="K3" s="4">
        <f>L3+J3</f>
        <v>0</v>
      </c>
      <c r="L3" s="4">
        <v>0</v>
      </c>
      <c r="M3" s="4">
        <v>0</v>
      </c>
    </row>
    <row r="4" spans="1:15" x14ac:dyDescent="0.25">
      <c r="A4" s="4" t="s">
        <v>79</v>
      </c>
      <c r="B4" s="6" t="s">
        <v>31</v>
      </c>
      <c r="C4" s="5">
        <f>1.29*3.42*5/3</f>
        <v>7.3530000000000006</v>
      </c>
      <c r="D4" s="4">
        <f t="shared" ref="D4:D20" si="0">IF(M4&gt;=(K4-L4),0,J4)</f>
        <v>0</v>
      </c>
      <c r="E4" s="15">
        <f>D4*C4</f>
        <v>0</v>
      </c>
      <c r="F4" s="12">
        <f>ROUNDUP($F$2*0,0)</f>
        <v>0</v>
      </c>
      <c r="G4" s="12">
        <f>ROUNDUP($F$2*0,0)</f>
        <v>0</v>
      </c>
      <c r="H4" s="12">
        <f>ROUNDUP($F$2*0,0)</f>
        <v>0</v>
      </c>
      <c r="I4" s="12">
        <f>ROUNDUP($F$2*1,0)</f>
        <v>3</v>
      </c>
      <c r="J4" s="12">
        <v>0</v>
      </c>
      <c r="K4" s="4">
        <f>L4+J4</f>
        <v>0</v>
      </c>
      <c r="L4" s="4">
        <v>0</v>
      </c>
      <c r="M4" s="4">
        <v>0</v>
      </c>
    </row>
    <row r="5" spans="1:15" x14ac:dyDescent="0.25">
      <c r="A5" s="4" t="s">
        <v>324</v>
      </c>
      <c r="B5" s="6" t="s">
        <v>31</v>
      </c>
      <c r="C5" s="5">
        <f>1.95*2.3*5/3</f>
        <v>7.4749999999999988</v>
      </c>
      <c r="D5" s="4">
        <f>IF(M5&gt;=(K5-L5),0,J5)</f>
        <v>3</v>
      </c>
      <c r="E5" s="15">
        <f>D5*C5</f>
        <v>22.424999999999997</v>
      </c>
      <c r="F5" s="12">
        <f>ROUNDUP($F$2*0,0)</f>
        <v>0</v>
      </c>
      <c r="G5" s="12">
        <f>ROUNDUP($F$2*0,0)</f>
        <v>0</v>
      </c>
      <c r="H5" s="12">
        <f>ROUNDUP($F$2*1,0)</f>
        <v>3</v>
      </c>
      <c r="I5" s="12">
        <f>ROUNDUP($F$2*0,0)</f>
        <v>0</v>
      </c>
      <c r="J5" s="12">
        <v>3</v>
      </c>
      <c r="K5" s="4">
        <f>L5+J5</f>
        <v>3</v>
      </c>
      <c r="L5" s="4">
        <v>0</v>
      </c>
      <c r="M5" s="4">
        <v>0</v>
      </c>
    </row>
    <row r="6" spans="1:15" x14ac:dyDescent="0.25">
      <c r="A6" s="4"/>
      <c r="B6" s="6"/>
      <c r="C6" s="5"/>
      <c r="D6" s="4"/>
      <c r="E6" s="15"/>
      <c r="F6" s="12"/>
      <c r="G6" s="12"/>
      <c r="H6" s="12"/>
      <c r="I6" s="12"/>
      <c r="J6" s="12"/>
      <c r="K6" s="4"/>
      <c r="L6" s="4"/>
      <c r="M6" s="4"/>
    </row>
    <row r="7" spans="1:15" x14ac:dyDescent="0.25">
      <c r="A7" s="4" t="s">
        <v>5</v>
      </c>
      <c r="B7" s="6" t="s">
        <v>33</v>
      </c>
      <c r="C7" s="5">
        <v>19.8</v>
      </c>
      <c r="D7" s="4">
        <f t="shared" si="0"/>
        <v>3</v>
      </c>
      <c r="E7" s="15">
        <f>D7*C7</f>
        <v>59.400000000000006</v>
      </c>
      <c r="F7" s="12">
        <f t="shared" ref="F7:I10" si="1">ROUNDUP($F$2*1,0)</f>
        <v>3</v>
      </c>
      <c r="G7" s="12">
        <f t="shared" si="1"/>
        <v>3</v>
      </c>
      <c r="H7" s="12">
        <f t="shared" si="1"/>
        <v>3</v>
      </c>
      <c r="I7" s="12">
        <f t="shared" si="1"/>
        <v>3</v>
      </c>
      <c r="J7" s="12">
        <v>3</v>
      </c>
      <c r="K7" s="4">
        <f>L7+J7</f>
        <v>3</v>
      </c>
      <c r="L7" s="4">
        <v>0</v>
      </c>
      <c r="M7" s="4">
        <v>0</v>
      </c>
      <c r="N7" s="1" t="s">
        <v>32</v>
      </c>
      <c r="O7" s="2">
        <v>19.95</v>
      </c>
    </row>
    <row r="8" spans="1:15" x14ac:dyDescent="0.25">
      <c r="A8" s="4" t="s">
        <v>6</v>
      </c>
      <c r="B8" s="6" t="s">
        <v>33</v>
      </c>
      <c r="C8" s="5">
        <v>6</v>
      </c>
      <c r="D8" s="4">
        <f t="shared" si="0"/>
        <v>3</v>
      </c>
      <c r="E8" s="15">
        <f t="shared" ref="E8:E20" si="2">D8*C8</f>
        <v>18</v>
      </c>
      <c r="F8" s="12">
        <f t="shared" si="1"/>
        <v>3</v>
      </c>
      <c r="G8" s="12">
        <f t="shared" si="1"/>
        <v>3</v>
      </c>
      <c r="H8" s="12">
        <f t="shared" si="1"/>
        <v>3</v>
      </c>
      <c r="I8" s="12">
        <f t="shared" si="1"/>
        <v>3</v>
      </c>
      <c r="J8" s="12">
        <v>3</v>
      </c>
      <c r="K8" s="4">
        <f>L8+J8</f>
        <v>3</v>
      </c>
      <c r="L8" s="4">
        <v>0</v>
      </c>
      <c r="M8" s="4">
        <v>0</v>
      </c>
    </row>
    <row r="9" spans="1:15" x14ac:dyDescent="0.25">
      <c r="A9" s="4" t="s">
        <v>7</v>
      </c>
      <c r="B9" s="6" t="s">
        <v>35</v>
      </c>
      <c r="C9" s="5">
        <v>20.79</v>
      </c>
      <c r="D9" s="4">
        <f t="shared" si="0"/>
        <v>3</v>
      </c>
      <c r="E9" s="15">
        <f t="shared" si="2"/>
        <v>62.37</v>
      </c>
      <c r="F9" s="12">
        <f t="shared" si="1"/>
        <v>3</v>
      </c>
      <c r="G9" s="12">
        <f t="shared" si="1"/>
        <v>3</v>
      </c>
      <c r="H9" s="12">
        <f t="shared" si="1"/>
        <v>3</v>
      </c>
      <c r="I9" s="12">
        <f t="shared" si="1"/>
        <v>3</v>
      </c>
      <c r="J9" s="12">
        <v>3</v>
      </c>
      <c r="K9" s="4">
        <f>L9+J9</f>
        <v>3</v>
      </c>
      <c r="L9" s="4">
        <v>0</v>
      </c>
      <c r="M9" s="4">
        <v>0</v>
      </c>
    </row>
    <row r="10" spans="1:15" x14ac:dyDescent="0.25">
      <c r="A10" s="4" t="s">
        <v>37</v>
      </c>
      <c r="B10" s="6" t="s">
        <v>36</v>
      </c>
      <c r="C10" s="5">
        <v>0.6</v>
      </c>
      <c r="D10" s="4">
        <f t="shared" si="0"/>
        <v>3</v>
      </c>
      <c r="E10" s="15">
        <f t="shared" si="2"/>
        <v>1.7999999999999998</v>
      </c>
      <c r="F10" s="12">
        <f t="shared" si="1"/>
        <v>3</v>
      </c>
      <c r="G10" s="12">
        <f t="shared" si="1"/>
        <v>3</v>
      </c>
      <c r="H10" s="12">
        <f t="shared" si="1"/>
        <v>3</v>
      </c>
      <c r="I10" s="12">
        <f t="shared" si="1"/>
        <v>3</v>
      </c>
      <c r="J10" s="12">
        <v>3</v>
      </c>
      <c r="K10" s="4">
        <f>L10+J10</f>
        <v>3</v>
      </c>
      <c r="L10" s="4">
        <v>0</v>
      </c>
      <c r="M10" s="4">
        <v>0</v>
      </c>
    </row>
    <row r="11" spans="1:15" x14ac:dyDescent="0.25">
      <c r="A11" s="4"/>
      <c r="B11" s="6"/>
      <c r="C11" s="5"/>
      <c r="D11" s="4"/>
      <c r="E11" s="15"/>
      <c r="F11" s="12"/>
      <c r="G11" s="12"/>
      <c r="H11" s="12"/>
      <c r="I11" s="12"/>
      <c r="J11" s="12"/>
      <c r="K11" s="4"/>
      <c r="L11" s="4"/>
      <c r="M11" s="4"/>
    </row>
    <row r="12" spans="1:15" x14ac:dyDescent="0.25">
      <c r="A12" s="4" t="s">
        <v>9</v>
      </c>
      <c r="B12" s="6" t="s">
        <v>36</v>
      </c>
      <c r="C12" s="5">
        <v>0.28000000000000003</v>
      </c>
      <c r="D12" s="4">
        <f t="shared" si="0"/>
        <v>3</v>
      </c>
      <c r="E12" s="15">
        <f t="shared" si="2"/>
        <v>0.84000000000000008</v>
      </c>
      <c r="F12" s="12">
        <f t="shared" ref="F12:I13" si="3">ROUNDUP($F$2*1,0)</f>
        <v>3</v>
      </c>
      <c r="G12" s="12">
        <f t="shared" si="3"/>
        <v>3</v>
      </c>
      <c r="H12" s="12">
        <f t="shared" si="3"/>
        <v>3</v>
      </c>
      <c r="I12" s="12">
        <f t="shared" si="3"/>
        <v>3</v>
      </c>
      <c r="J12" s="12">
        <v>3</v>
      </c>
      <c r="K12" s="4">
        <f>L12+J12</f>
        <v>3</v>
      </c>
      <c r="L12" s="4">
        <v>0</v>
      </c>
      <c r="M12" s="4">
        <v>0</v>
      </c>
    </row>
    <row r="13" spans="1:15" x14ac:dyDescent="0.25">
      <c r="A13" s="4" t="s">
        <v>68</v>
      </c>
      <c r="B13" s="6" t="s">
        <v>36</v>
      </c>
      <c r="C13" s="5">
        <v>0.88</v>
      </c>
      <c r="D13" s="4">
        <f>IF(M13&gt;=(K13-L13),0,J13)</f>
        <v>3</v>
      </c>
      <c r="E13" s="15">
        <f>D13*C13</f>
        <v>2.64</v>
      </c>
      <c r="F13" s="12">
        <f t="shared" si="3"/>
        <v>3</v>
      </c>
      <c r="G13" s="12">
        <f t="shared" si="3"/>
        <v>3</v>
      </c>
      <c r="H13" s="12">
        <f t="shared" si="3"/>
        <v>3</v>
      </c>
      <c r="I13" s="12">
        <f t="shared" si="3"/>
        <v>3</v>
      </c>
      <c r="J13" s="12">
        <v>3</v>
      </c>
      <c r="K13" s="4">
        <f>L13+J13</f>
        <v>3</v>
      </c>
      <c r="L13" s="4">
        <v>0</v>
      </c>
      <c r="M13" s="4">
        <v>0</v>
      </c>
    </row>
    <row r="14" spans="1:15" x14ac:dyDescent="0.25">
      <c r="A14" s="4"/>
      <c r="B14" s="6"/>
      <c r="C14" s="5"/>
      <c r="D14" s="4"/>
      <c r="E14" s="15"/>
      <c r="F14" s="12"/>
      <c r="G14" s="12"/>
      <c r="H14" s="12"/>
      <c r="I14" s="12"/>
      <c r="J14" s="12"/>
      <c r="K14" s="4"/>
      <c r="L14" s="4"/>
      <c r="M14" s="4"/>
    </row>
    <row r="15" spans="1:15" x14ac:dyDescent="0.25">
      <c r="A15" s="4" t="s">
        <v>13</v>
      </c>
      <c r="B15" s="6" t="s">
        <v>36</v>
      </c>
      <c r="C15" s="5">
        <v>0.62</v>
      </c>
      <c r="D15" s="4">
        <f t="shared" si="0"/>
        <v>0</v>
      </c>
      <c r="E15" s="15">
        <f>D15*C15</f>
        <v>0</v>
      </c>
      <c r="F15" s="12">
        <f>ROUNDUP($F$2*0,0)</f>
        <v>0</v>
      </c>
      <c r="G15" s="12">
        <f>ROUNDUP($F$2*0,0)</f>
        <v>0</v>
      </c>
      <c r="H15" s="12">
        <f>ROUNDUP($F$2*0,0)</f>
        <v>0</v>
      </c>
      <c r="I15" s="12">
        <f>ROUNDUP($F$2*1,0)</f>
        <v>3</v>
      </c>
      <c r="J15" s="12">
        <v>0</v>
      </c>
      <c r="K15" s="4">
        <f t="shared" ref="K15:K20" si="4">L15+J15</f>
        <v>6</v>
      </c>
      <c r="L15" s="4">
        <v>6</v>
      </c>
      <c r="M15" s="4">
        <v>0</v>
      </c>
    </row>
    <row r="16" spans="1:15" x14ac:dyDescent="0.25">
      <c r="A16" s="4" t="s">
        <v>11</v>
      </c>
      <c r="B16" s="6" t="s">
        <v>36</v>
      </c>
      <c r="C16" s="5">
        <v>0.65</v>
      </c>
      <c r="D16" s="4">
        <f t="shared" si="0"/>
        <v>3</v>
      </c>
      <c r="E16" s="15">
        <f t="shared" si="2"/>
        <v>1.9500000000000002</v>
      </c>
      <c r="F16" s="12">
        <f>ROUNDUP($F$2*1,0)</f>
        <v>3</v>
      </c>
      <c r="G16" s="12">
        <f>ROUNDUP($F$2*1,0)</f>
        <v>3</v>
      </c>
      <c r="H16" s="12">
        <f>ROUNDUP($F$2*1,0)</f>
        <v>3</v>
      </c>
      <c r="I16" s="12">
        <f>ROUNDUP($F$2*1,0)</f>
        <v>3</v>
      </c>
      <c r="J16" s="12">
        <v>3</v>
      </c>
      <c r="K16" s="4">
        <f t="shared" si="4"/>
        <v>3</v>
      </c>
      <c r="L16" s="4">
        <v>0</v>
      </c>
      <c r="M16" s="4">
        <v>0</v>
      </c>
    </row>
    <row r="17" spans="1:15" x14ac:dyDescent="0.25">
      <c r="A17" s="4" t="s">
        <v>12</v>
      </c>
      <c r="B17" s="6" t="s">
        <v>36</v>
      </c>
      <c r="C17" s="5">
        <v>0.7</v>
      </c>
      <c r="D17" s="4">
        <f t="shared" si="0"/>
        <v>6</v>
      </c>
      <c r="E17" s="15">
        <f t="shared" si="2"/>
        <v>4.1999999999999993</v>
      </c>
      <c r="F17" s="12">
        <f>ROUNDUP($F$2*2,0)</f>
        <v>6</v>
      </c>
      <c r="G17" s="12">
        <f>ROUNDUP($F$2*2,0)</f>
        <v>6</v>
      </c>
      <c r="H17" s="12">
        <f>ROUNDUP($F$2*2,0)</f>
        <v>6</v>
      </c>
      <c r="I17" s="12">
        <f>ROUNDUP($F$2*2,0)</f>
        <v>6</v>
      </c>
      <c r="J17" s="12">
        <v>6</v>
      </c>
      <c r="K17" s="4">
        <f t="shared" si="4"/>
        <v>6</v>
      </c>
      <c r="L17" s="4">
        <v>0</v>
      </c>
      <c r="M17" s="4">
        <v>0</v>
      </c>
    </row>
    <row r="18" spans="1:15" x14ac:dyDescent="0.25">
      <c r="A18" s="4" t="s">
        <v>10</v>
      </c>
      <c r="B18" s="6" t="s">
        <v>36</v>
      </c>
      <c r="C18" s="5">
        <v>0.98</v>
      </c>
      <c r="D18" s="4">
        <f t="shared" si="0"/>
        <v>12</v>
      </c>
      <c r="E18" s="15">
        <f>D18*C18</f>
        <v>11.76</v>
      </c>
      <c r="F18" s="12">
        <f>ROUNDUP($F$2*4,0)</f>
        <v>12</v>
      </c>
      <c r="G18" s="12">
        <f>ROUNDUP($F$2*4,0)</f>
        <v>12</v>
      </c>
      <c r="H18" s="12">
        <f>ROUNDUP($F$2*4,0)</f>
        <v>12</v>
      </c>
      <c r="I18" s="12">
        <f>ROUNDUP($F$2*4,0)</f>
        <v>12</v>
      </c>
      <c r="J18" s="12">
        <v>12</v>
      </c>
      <c r="K18" s="4">
        <f t="shared" si="4"/>
        <v>12</v>
      </c>
      <c r="L18" s="4">
        <v>0</v>
      </c>
      <c r="M18" s="4">
        <v>0</v>
      </c>
    </row>
    <row r="19" spans="1:15" x14ac:dyDescent="0.25">
      <c r="A19" s="4" t="s">
        <v>14</v>
      </c>
      <c r="B19" s="6" t="s">
        <v>36</v>
      </c>
      <c r="C19" s="5">
        <v>0.74</v>
      </c>
      <c r="D19" s="4">
        <f t="shared" si="0"/>
        <v>0</v>
      </c>
      <c r="E19" s="15">
        <f t="shared" si="2"/>
        <v>0</v>
      </c>
      <c r="F19" s="12">
        <f>ROUNDUP($F$2*5/40,0)</f>
        <v>1</v>
      </c>
      <c r="G19" s="12">
        <f>ROUNDUP($F$2*5/40,0)</f>
        <v>1</v>
      </c>
      <c r="H19" s="12">
        <f>ROUNDUP($F$2*5/40,0)</f>
        <v>1</v>
      </c>
      <c r="I19" s="12">
        <f>ROUNDUP($F$2*5/40,0)</f>
        <v>1</v>
      </c>
      <c r="J19" s="12">
        <v>0</v>
      </c>
      <c r="K19" s="4">
        <f t="shared" si="4"/>
        <v>21.875</v>
      </c>
      <c r="L19" s="4">
        <f>21+35/40</f>
        <v>21.875</v>
      </c>
      <c r="M19" s="4">
        <v>0</v>
      </c>
    </row>
    <row r="20" spans="1:15" x14ac:dyDescent="0.25">
      <c r="A20" s="4" t="s">
        <v>15</v>
      </c>
      <c r="B20" s="6" t="s">
        <v>36</v>
      </c>
      <c r="C20" s="5">
        <v>0.99</v>
      </c>
      <c r="D20" s="4">
        <f t="shared" si="0"/>
        <v>1</v>
      </c>
      <c r="E20" s="15">
        <f t="shared" si="2"/>
        <v>0.99</v>
      </c>
      <c r="F20" s="12">
        <f>ROUNDUP($F$2*28/40,0)</f>
        <v>3</v>
      </c>
      <c r="G20" s="12">
        <f>ROUNDUP($F$2*28/40,0)</f>
        <v>3</v>
      </c>
      <c r="H20" s="12">
        <f>ROUNDUP($F$2*28/40,0)</f>
        <v>3</v>
      </c>
      <c r="I20" s="12">
        <f>ROUNDUP($F$2*28/40,0)</f>
        <v>3</v>
      </c>
      <c r="J20" s="12">
        <v>1</v>
      </c>
      <c r="K20" s="4">
        <f t="shared" si="4"/>
        <v>3.1749999999999998</v>
      </c>
      <c r="L20" s="4">
        <f>2+7/40</f>
        <v>2.1749999999999998</v>
      </c>
      <c r="M20" s="4">
        <v>0</v>
      </c>
      <c r="O20">
        <f>120-28*2</f>
        <v>64</v>
      </c>
    </row>
    <row r="22" spans="1:15" x14ac:dyDescent="0.25">
      <c r="A22" s="19" t="s">
        <v>57</v>
      </c>
      <c r="B22" s="6" t="s">
        <v>36</v>
      </c>
      <c r="C22" s="5">
        <v>0.1</v>
      </c>
      <c r="D22" s="4">
        <f t="shared" ref="D22:D27" si="5">IF(M22&gt;=(K22-L22),0,J22)</f>
        <v>0</v>
      </c>
      <c r="E22" s="15">
        <f t="shared" ref="E22:E27" si="6">D22*C22</f>
        <v>0</v>
      </c>
      <c r="F22" s="12">
        <f t="shared" ref="F22:H27" si="7">ROUNDUP($F$2*0,0)</f>
        <v>0</v>
      </c>
      <c r="G22" s="12">
        <f t="shared" si="7"/>
        <v>0</v>
      </c>
      <c r="H22" s="12">
        <f t="shared" si="7"/>
        <v>0</v>
      </c>
      <c r="I22" s="12">
        <f>ROUNDUP($F$2*1,0)</f>
        <v>3</v>
      </c>
      <c r="J22" s="12">
        <v>0</v>
      </c>
      <c r="K22" s="4">
        <f t="shared" ref="K22:K27" si="8">L22+J22</f>
        <v>0</v>
      </c>
      <c r="L22" s="4">
        <v>0</v>
      </c>
      <c r="M22" s="4">
        <v>0</v>
      </c>
    </row>
    <row r="23" spans="1:15" x14ac:dyDescent="0.25">
      <c r="A23" s="19" t="s">
        <v>56</v>
      </c>
      <c r="B23" s="6" t="s">
        <v>36</v>
      </c>
      <c r="C23" s="5">
        <v>0.1</v>
      </c>
      <c r="D23" s="4">
        <f t="shared" si="5"/>
        <v>0</v>
      </c>
      <c r="E23" s="15">
        <f t="shared" si="6"/>
        <v>0</v>
      </c>
      <c r="F23" s="12">
        <f t="shared" si="7"/>
        <v>0</v>
      </c>
      <c r="G23" s="12">
        <f t="shared" si="7"/>
        <v>0</v>
      </c>
      <c r="H23" s="12">
        <f t="shared" si="7"/>
        <v>0</v>
      </c>
      <c r="I23" s="12">
        <f>ROUNDUP($F$2*1,0)</f>
        <v>3</v>
      </c>
      <c r="J23" s="12">
        <v>0</v>
      </c>
      <c r="K23" s="4">
        <f t="shared" si="8"/>
        <v>0</v>
      </c>
      <c r="L23" s="4">
        <v>0</v>
      </c>
      <c r="M23" s="4">
        <v>0</v>
      </c>
      <c r="N23" s="24">
        <v>10</v>
      </c>
    </row>
    <row r="24" spans="1:15" x14ac:dyDescent="0.25">
      <c r="A24" s="19" t="s">
        <v>53</v>
      </c>
      <c r="B24" s="6" t="s">
        <v>36</v>
      </c>
      <c r="C24" s="5">
        <v>0.1</v>
      </c>
      <c r="D24" s="4">
        <f t="shared" si="5"/>
        <v>0</v>
      </c>
      <c r="E24" s="15">
        <f t="shared" si="6"/>
        <v>0</v>
      </c>
      <c r="F24" s="12">
        <f t="shared" si="7"/>
        <v>0</v>
      </c>
      <c r="G24" s="12">
        <f t="shared" si="7"/>
        <v>0</v>
      </c>
      <c r="H24" s="12">
        <f t="shared" si="7"/>
        <v>0</v>
      </c>
      <c r="I24" s="12">
        <f>ROUNDUP($F$2*2,0)</f>
        <v>6</v>
      </c>
      <c r="J24" s="12">
        <v>0</v>
      </c>
      <c r="K24" s="4">
        <f t="shared" si="8"/>
        <v>0</v>
      </c>
      <c r="L24" s="4">
        <v>0</v>
      </c>
      <c r="M24" s="4">
        <v>0</v>
      </c>
      <c r="N24" s="24">
        <v>10</v>
      </c>
    </row>
    <row r="25" spans="1:15" x14ac:dyDescent="0.25">
      <c r="A25" s="4" t="s">
        <v>83</v>
      </c>
      <c r="B25" s="6" t="s">
        <v>36</v>
      </c>
      <c r="C25" s="5">
        <v>0.1</v>
      </c>
      <c r="D25" s="4">
        <f t="shared" si="5"/>
        <v>0</v>
      </c>
      <c r="E25" s="15">
        <f t="shared" si="6"/>
        <v>0</v>
      </c>
      <c r="F25" s="12">
        <f t="shared" si="7"/>
        <v>0</v>
      </c>
      <c r="G25" s="12">
        <f t="shared" si="7"/>
        <v>0</v>
      </c>
      <c r="H25" s="12">
        <f t="shared" si="7"/>
        <v>0</v>
      </c>
      <c r="I25" s="12">
        <f>ROUNDUP($F$2*6,0)</f>
        <v>18</v>
      </c>
      <c r="J25" s="12">
        <v>0</v>
      </c>
      <c r="K25" s="4">
        <f t="shared" si="8"/>
        <v>0</v>
      </c>
      <c r="L25" s="4">
        <v>0</v>
      </c>
      <c r="M25" s="4">
        <v>0</v>
      </c>
      <c r="N25" s="24">
        <v>10</v>
      </c>
    </row>
    <row r="26" spans="1:15" x14ac:dyDescent="0.25">
      <c r="A26" s="19" t="s">
        <v>55</v>
      </c>
      <c r="B26" s="6" t="s">
        <v>36</v>
      </c>
      <c r="C26" s="5">
        <v>0.1</v>
      </c>
      <c r="D26" s="4">
        <f t="shared" si="5"/>
        <v>0</v>
      </c>
      <c r="E26" s="15">
        <f t="shared" si="6"/>
        <v>0</v>
      </c>
      <c r="F26" s="12">
        <f t="shared" si="7"/>
        <v>0</v>
      </c>
      <c r="G26" s="12">
        <f t="shared" si="7"/>
        <v>0</v>
      </c>
      <c r="H26" s="12">
        <f t="shared" si="7"/>
        <v>0</v>
      </c>
      <c r="I26" s="12">
        <f>ROUNDUP($F$2*2,0)</f>
        <v>6</v>
      </c>
      <c r="J26" s="12">
        <v>0</v>
      </c>
      <c r="K26" s="4">
        <f t="shared" si="8"/>
        <v>0</v>
      </c>
      <c r="L26" s="4">
        <v>0</v>
      </c>
      <c r="M26" s="4">
        <v>0</v>
      </c>
      <c r="N26" s="24">
        <v>10</v>
      </c>
    </row>
    <row r="27" spans="1:15" x14ac:dyDescent="0.25">
      <c r="A27" s="19" t="s">
        <v>54</v>
      </c>
      <c r="B27" s="6" t="s">
        <v>36</v>
      </c>
      <c r="C27" s="5">
        <v>0.1</v>
      </c>
      <c r="D27" s="4">
        <f t="shared" si="5"/>
        <v>0</v>
      </c>
      <c r="E27" s="15">
        <f t="shared" si="6"/>
        <v>0</v>
      </c>
      <c r="F27" s="12">
        <f t="shared" si="7"/>
        <v>0</v>
      </c>
      <c r="G27" s="12">
        <f t="shared" si="7"/>
        <v>0</v>
      </c>
      <c r="H27" s="12">
        <f t="shared" si="7"/>
        <v>0</v>
      </c>
      <c r="I27" s="12">
        <f>ROUNDUP($F$2*2,0)</f>
        <v>6</v>
      </c>
      <c r="J27" s="12">
        <v>0</v>
      </c>
      <c r="K27" s="4">
        <f t="shared" si="8"/>
        <v>0</v>
      </c>
      <c r="L27" s="4">
        <v>0</v>
      </c>
      <c r="M27" s="4">
        <v>0</v>
      </c>
      <c r="N27" s="24">
        <v>10</v>
      </c>
    </row>
    <row r="28" spans="1:15" x14ac:dyDescent="0.25">
      <c r="A28" s="19"/>
      <c r="B28" s="6"/>
      <c r="C28" s="5"/>
      <c r="D28" s="4"/>
      <c r="E28" s="15"/>
      <c r="F28" s="12"/>
      <c r="G28" s="12"/>
      <c r="H28" s="12"/>
      <c r="I28" s="12"/>
      <c r="J28" s="12"/>
      <c r="K28" s="4"/>
      <c r="L28" s="4"/>
      <c r="M28" s="4"/>
      <c r="N28" s="17"/>
    </row>
    <row r="29" spans="1:15" x14ac:dyDescent="0.25">
      <c r="A29" s="19" t="s">
        <v>52</v>
      </c>
      <c r="B29" s="6" t="s">
        <v>36</v>
      </c>
      <c r="C29" s="5">
        <v>0.1</v>
      </c>
      <c r="D29" s="4">
        <f>IF(M29&gt;=(K29-L29),0,J29)</f>
        <v>0</v>
      </c>
      <c r="E29" s="15">
        <f>D29*C29</f>
        <v>0</v>
      </c>
      <c r="F29" s="12">
        <f>ROUNDUP($F$2*0,0)</f>
        <v>0</v>
      </c>
      <c r="G29" s="12">
        <f>ROUNDUP($F$2*0,0)</f>
        <v>0</v>
      </c>
      <c r="H29" s="12">
        <f>ROUNDUP($F$2*0,0)</f>
        <v>0</v>
      </c>
      <c r="I29" s="12">
        <f>ROUNDUP($F$2*1,0)</f>
        <v>3</v>
      </c>
      <c r="J29" s="12">
        <v>0</v>
      </c>
      <c r="K29" s="4">
        <f>L29+J29</f>
        <v>0</v>
      </c>
      <c r="L29" s="4">
        <v>0</v>
      </c>
      <c r="M29" s="4">
        <v>0</v>
      </c>
    </row>
    <row r="30" spans="1:15" x14ac:dyDescent="0.25">
      <c r="A30" s="17"/>
      <c r="B30" s="29"/>
      <c r="C30" s="28"/>
      <c r="D30" s="27"/>
      <c r="E30" s="30"/>
      <c r="F30" s="27"/>
      <c r="G30" s="27"/>
      <c r="H30" s="27"/>
      <c r="I30" s="27"/>
      <c r="J30" s="27"/>
      <c r="K30" s="27"/>
      <c r="L30" s="27"/>
      <c r="M30" s="27"/>
    </row>
    <row r="31" spans="1:15" x14ac:dyDescent="0.25">
      <c r="A31" s="4" t="s">
        <v>18</v>
      </c>
      <c r="B31" s="6" t="s">
        <v>36</v>
      </c>
      <c r="C31" s="5">
        <v>0.3</v>
      </c>
      <c r="D31" s="4">
        <f>IF(M31&gt;=(K31-L31),0,J31)</f>
        <v>0</v>
      </c>
      <c r="E31" s="15">
        <f>D31*C31</f>
        <v>0</v>
      </c>
      <c r="F31" s="12">
        <f t="shared" ref="F31:H33" si="9">ROUNDUP($F$2*0,0)</f>
        <v>0</v>
      </c>
      <c r="G31" s="12">
        <f t="shared" si="9"/>
        <v>0</v>
      </c>
      <c r="H31" s="12">
        <f t="shared" si="9"/>
        <v>0</v>
      </c>
      <c r="I31" s="12">
        <f>ROUNDUP($F$2*1,0)</f>
        <v>3</v>
      </c>
      <c r="J31" s="12">
        <v>0</v>
      </c>
      <c r="K31" s="4">
        <f>L31+J31</f>
        <v>0</v>
      </c>
      <c r="L31" s="4">
        <v>0</v>
      </c>
      <c r="M31" s="4">
        <v>0</v>
      </c>
    </row>
    <row r="32" spans="1:15" x14ac:dyDescent="0.25">
      <c r="A32" s="4" t="s">
        <v>19</v>
      </c>
      <c r="B32" s="6" t="s">
        <v>36</v>
      </c>
      <c r="C32" s="5">
        <v>0.3</v>
      </c>
      <c r="D32" s="4">
        <f>IF(M32&gt;=(K32-L32),0,J32)</f>
        <v>0</v>
      </c>
      <c r="E32" s="15">
        <f>D32*C32</f>
        <v>0</v>
      </c>
      <c r="F32" s="12">
        <f t="shared" si="9"/>
        <v>0</v>
      </c>
      <c r="G32" s="12">
        <f t="shared" si="9"/>
        <v>0</v>
      </c>
      <c r="H32" s="12">
        <f t="shared" si="9"/>
        <v>0</v>
      </c>
      <c r="I32" s="12">
        <f>ROUNDUP($F$2*3,0)</f>
        <v>9</v>
      </c>
      <c r="J32" s="12">
        <v>0</v>
      </c>
      <c r="K32" s="4">
        <f>L32+J32</f>
        <v>0</v>
      </c>
      <c r="L32" s="4">
        <v>0</v>
      </c>
      <c r="M32" s="4">
        <v>0</v>
      </c>
    </row>
    <row r="33" spans="1:14" x14ac:dyDescent="0.25">
      <c r="A33" s="4" t="s">
        <v>20</v>
      </c>
      <c r="B33" s="6" t="s">
        <v>36</v>
      </c>
      <c r="C33" s="5">
        <v>0.28999999999999998</v>
      </c>
      <c r="D33" s="4">
        <f>IF(M33&gt;=(K33-L33),0,J33)</f>
        <v>0</v>
      </c>
      <c r="E33" s="15">
        <f>D33*C33</f>
        <v>0</v>
      </c>
      <c r="F33" s="12">
        <f t="shared" si="9"/>
        <v>0</v>
      </c>
      <c r="G33" s="12">
        <f t="shared" si="9"/>
        <v>0</v>
      </c>
      <c r="H33" s="12">
        <f t="shared" si="9"/>
        <v>0</v>
      </c>
      <c r="I33" s="12">
        <f>ROUNDUP($F$2*4,0)</f>
        <v>12</v>
      </c>
      <c r="J33" s="12">
        <v>0</v>
      </c>
      <c r="K33" s="4">
        <f>L33+J33</f>
        <v>0</v>
      </c>
      <c r="L33" s="4">
        <v>0</v>
      </c>
      <c r="M33" s="4">
        <v>0</v>
      </c>
    </row>
    <row r="35" spans="1:14" x14ac:dyDescent="0.25">
      <c r="A35" s="19" t="s">
        <v>89</v>
      </c>
      <c r="B35" s="6" t="s">
        <v>36</v>
      </c>
      <c r="C35" s="5">
        <v>1.4E-2</v>
      </c>
      <c r="D35" s="4">
        <f t="shared" ref="D35:D43" si="10">IF(M35&gt;=(K35-L35),0,J35)</f>
        <v>10</v>
      </c>
      <c r="E35" s="15">
        <f>D35*C35</f>
        <v>0.14000000000000001</v>
      </c>
      <c r="F35" s="12">
        <f>ROUNDUP($F$2*1,0)</f>
        <v>3</v>
      </c>
      <c r="G35" s="12">
        <f>ROUNDUP($F$2*1,0)</f>
        <v>3</v>
      </c>
      <c r="H35" s="12">
        <f>ROUNDUP($F$2*1,0)</f>
        <v>3</v>
      </c>
      <c r="I35" s="12">
        <f t="shared" ref="I35:I43" si="11">ROUNDUP($F$2*0,0)</f>
        <v>0</v>
      </c>
      <c r="J35" s="12">
        <v>10</v>
      </c>
      <c r="K35" s="4">
        <f t="shared" ref="K35:K43" si="12">L35+J35</f>
        <v>11</v>
      </c>
      <c r="L35" s="4">
        <v>1</v>
      </c>
      <c r="M35" s="4">
        <v>0</v>
      </c>
    </row>
    <row r="36" spans="1:14" x14ac:dyDescent="0.25">
      <c r="A36" s="19" t="s">
        <v>325</v>
      </c>
      <c r="B36" s="6" t="s">
        <v>36</v>
      </c>
      <c r="C36" s="5">
        <v>1.4E-2</v>
      </c>
      <c r="D36" s="4">
        <f t="shared" ref="D36" si="13">IF(M36&gt;=(K36-L36),0,J36)</f>
        <v>10</v>
      </c>
      <c r="E36" s="15">
        <f>D36*C36</f>
        <v>0.14000000000000001</v>
      </c>
      <c r="F36" s="12">
        <f>ROUNDUP($F$2*0,0)</f>
        <v>0</v>
      </c>
      <c r="G36" s="12">
        <f>ROUNDUP($F$2*0,0)</f>
        <v>0</v>
      </c>
      <c r="H36" s="12">
        <f>ROUNDUP($F$2*1,0)</f>
        <v>3</v>
      </c>
      <c r="I36" s="12">
        <f t="shared" si="11"/>
        <v>0</v>
      </c>
      <c r="J36" s="12">
        <v>10</v>
      </c>
      <c r="K36" s="4">
        <f t="shared" ref="K36" si="14">L36+J36</f>
        <v>10</v>
      </c>
      <c r="L36" s="4">
        <v>0</v>
      </c>
      <c r="M36" s="4">
        <v>0</v>
      </c>
    </row>
    <row r="37" spans="1:14" x14ac:dyDescent="0.25">
      <c r="A37" s="19" t="s">
        <v>90</v>
      </c>
      <c r="B37" s="6" t="s">
        <v>36</v>
      </c>
      <c r="C37" s="5">
        <v>1.4E-2</v>
      </c>
      <c r="D37" s="4">
        <f t="shared" si="10"/>
        <v>10</v>
      </c>
      <c r="E37" s="15">
        <f>D37*C37</f>
        <v>0.14000000000000001</v>
      </c>
      <c r="F37" s="12">
        <f>ROUNDUP($F$2*1,0)</f>
        <v>3</v>
      </c>
      <c r="G37" s="12">
        <f>ROUNDUP($F$2*1,0)</f>
        <v>3</v>
      </c>
      <c r="H37" s="12">
        <f>ROUNDUP($F$2*1,0)</f>
        <v>3</v>
      </c>
      <c r="I37" s="12">
        <f t="shared" si="11"/>
        <v>0</v>
      </c>
      <c r="J37" s="12">
        <v>10</v>
      </c>
      <c r="K37" s="4">
        <f t="shared" si="12"/>
        <v>11</v>
      </c>
      <c r="L37" s="4">
        <v>1</v>
      </c>
      <c r="M37" s="4">
        <v>0</v>
      </c>
    </row>
    <row r="38" spans="1:14" x14ac:dyDescent="0.25">
      <c r="A38" s="19" t="s">
        <v>93</v>
      </c>
      <c r="B38" s="6" t="s">
        <v>36</v>
      </c>
      <c r="C38" s="5">
        <v>1.4E-2</v>
      </c>
      <c r="D38" s="4">
        <f t="shared" si="10"/>
        <v>10</v>
      </c>
      <c r="E38" s="15">
        <f>D38*C38</f>
        <v>0.14000000000000001</v>
      </c>
      <c r="F38" s="12">
        <f>ROUNDUP($F$2*2,0)</f>
        <v>6</v>
      </c>
      <c r="G38" s="12">
        <f>ROUNDUP($F$2*2,0)</f>
        <v>6</v>
      </c>
      <c r="H38" s="12">
        <f>ROUNDUP($F$2*2,0)</f>
        <v>6</v>
      </c>
      <c r="I38" s="12">
        <f t="shared" si="11"/>
        <v>0</v>
      </c>
      <c r="J38" s="12">
        <v>10</v>
      </c>
      <c r="K38" s="4">
        <f t="shared" si="12"/>
        <v>10</v>
      </c>
      <c r="L38" s="4">
        <v>0</v>
      </c>
      <c r="M38" s="4">
        <v>0</v>
      </c>
      <c r="N38" s="24"/>
    </row>
    <row r="39" spans="1:14" x14ac:dyDescent="0.25">
      <c r="A39" s="4" t="s">
        <v>84</v>
      </c>
      <c r="B39" s="6" t="s">
        <v>36</v>
      </c>
      <c r="C39" s="5">
        <v>0.01</v>
      </c>
      <c r="D39" s="4">
        <f t="shared" si="10"/>
        <v>15</v>
      </c>
      <c r="E39" s="15">
        <f t="shared" ref="E39" si="15">D39*C39</f>
        <v>0.15</v>
      </c>
      <c r="F39" s="12">
        <f>ROUNDUP($F$2*5,0)</f>
        <v>15</v>
      </c>
      <c r="G39" s="12">
        <f>ROUNDUP($F$2*5,0)</f>
        <v>15</v>
      </c>
      <c r="H39" s="12">
        <f>ROUNDUP($F$2*5,0)</f>
        <v>15</v>
      </c>
      <c r="I39" s="12">
        <f t="shared" si="11"/>
        <v>0</v>
      </c>
      <c r="J39" s="12">
        <v>15</v>
      </c>
      <c r="K39" s="4">
        <f t="shared" si="12"/>
        <v>20</v>
      </c>
      <c r="L39" s="4">
        <v>5</v>
      </c>
      <c r="M39" s="4">
        <v>0</v>
      </c>
      <c r="N39" s="17"/>
    </row>
    <row r="40" spans="1:14" x14ac:dyDescent="0.25">
      <c r="A40" s="19" t="s">
        <v>91</v>
      </c>
      <c r="B40" s="6" t="s">
        <v>36</v>
      </c>
      <c r="C40" s="5">
        <v>1.4E-2</v>
      </c>
      <c r="D40" s="4">
        <f t="shared" si="10"/>
        <v>10</v>
      </c>
      <c r="E40" s="15">
        <f>D40*C40</f>
        <v>0.14000000000000001</v>
      </c>
      <c r="F40" s="12">
        <f>ROUNDUP($F$2*3,0)</f>
        <v>9</v>
      </c>
      <c r="G40" s="12">
        <f>ROUNDUP($F$2*4,0)</f>
        <v>12</v>
      </c>
      <c r="H40" s="12">
        <f>ROUNDUP($F$2*4,0)</f>
        <v>12</v>
      </c>
      <c r="I40" s="12">
        <f t="shared" si="11"/>
        <v>0</v>
      </c>
      <c r="J40" s="12">
        <v>10</v>
      </c>
      <c r="K40" s="4">
        <f t="shared" si="12"/>
        <v>18</v>
      </c>
      <c r="L40" s="4">
        <v>8</v>
      </c>
      <c r="M40" s="4">
        <v>0</v>
      </c>
      <c r="N40" s="17"/>
    </row>
    <row r="41" spans="1:14" x14ac:dyDescent="0.25">
      <c r="A41" s="4" t="s">
        <v>322</v>
      </c>
      <c r="B41" s="6" t="s">
        <v>36</v>
      </c>
      <c r="C41" s="5">
        <v>1.4E-2</v>
      </c>
      <c r="D41" s="4">
        <f t="shared" ref="D41" si="16">IF(M41&gt;=(K41-L41),0,J41)</f>
        <v>10</v>
      </c>
      <c r="E41" s="15">
        <f t="shared" ref="E41" si="17">D41*C41</f>
        <v>0.14000000000000001</v>
      </c>
      <c r="F41" s="12">
        <f>ROUNDUP($F$2*0,0)</f>
        <v>0</v>
      </c>
      <c r="G41" s="12">
        <f>ROUNDUP($F$2*1,0)</f>
        <v>3</v>
      </c>
      <c r="H41" s="12">
        <f>ROUNDUP($F$2*1,0)</f>
        <v>3</v>
      </c>
      <c r="I41" s="12">
        <f t="shared" si="11"/>
        <v>0</v>
      </c>
      <c r="J41" s="12">
        <v>10</v>
      </c>
      <c r="K41" s="4">
        <f t="shared" ref="K41" si="18">L41+J41</f>
        <v>10</v>
      </c>
      <c r="L41" s="4">
        <v>0</v>
      </c>
      <c r="M41" s="4">
        <v>0</v>
      </c>
      <c r="N41" s="17"/>
    </row>
    <row r="42" spans="1:14" x14ac:dyDescent="0.25">
      <c r="A42" s="19" t="s">
        <v>92</v>
      </c>
      <c r="B42" s="6" t="s">
        <v>36</v>
      </c>
      <c r="C42" s="5">
        <v>1.4E-2</v>
      </c>
      <c r="D42" s="4">
        <f t="shared" si="10"/>
        <v>10</v>
      </c>
      <c r="E42" s="15">
        <f>D42*C42</f>
        <v>0.14000000000000001</v>
      </c>
      <c r="F42" s="12">
        <f>ROUNDUP($F$2*2,0)</f>
        <v>6</v>
      </c>
      <c r="G42" s="12">
        <f>ROUNDUP($F$2*2,0)</f>
        <v>6</v>
      </c>
      <c r="H42" s="12">
        <f>ROUNDUP($F$2*2,0)</f>
        <v>6</v>
      </c>
      <c r="I42" s="12">
        <f t="shared" si="11"/>
        <v>0</v>
      </c>
      <c r="J42" s="12">
        <v>10</v>
      </c>
      <c r="K42" s="4">
        <f t="shared" si="12"/>
        <v>12</v>
      </c>
      <c r="L42" s="4">
        <v>2</v>
      </c>
      <c r="M42" s="4">
        <v>0</v>
      </c>
      <c r="N42" s="17"/>
    </row>
    <row r="43" spans="1:14" x14ac:dyDescent="0.25">
      <c r="A43" s="4" t="s">
        <v>98</v>
      </c>
      <c r="B43" s="6" t="s">
        <v>36</v>
      </c>
      <c r="C43" s="5">
        <v>0.01</v>
      </c>
      <c r="D43" s="4">
        <f t="shared" si="10"/>
        <v>10</v>
      </c>
      <c r="E43" s="15">
        <f t="shared" ref="E43" si="19">D43*C43</f>
        <v>0.1</v>
      </c>
      <c r="F43" s="12">
        <f>ROUNDUP($F$2*1,0)</f>
        <v>3</v>
      </c>
      <c r="G43" s="12">
        <f>ROUNDUP($F$2*1,0)</f>
        <v>3</v>
      </c>
      <c r="H43" s="12">
        <f>ROUNDUP($F$2*1,0)</f>
        <v>3</v>
      </c>
      <c r="I43" s="12">
        <f t="shared" si="11"/>
        <v>0</v>
      </c>
      <c r="J43" s="12">
        <v>10</v>
      </c>
      <c r="K43" s="4">
        <f t="shared" si="12"/>
        <v>11</v>
      </c>
      <c r="L43" s="4">
        <v>1</v>
      </c>
      <c r="M43" s="4">
        <v>0</v>
      </c>
      <c r="N43" s="17"/>
    </row>
    <row r="44" spans="1:14" x14ac:dyDescent="0.25">
      <c r="N44" s="17"/>
    </row>
    <row r="45" spans="1:14" x14ac:dyDescent="0.25">
      <c r="A45" s="19" t="s">
        <v>88</v>
      </c>
      <c r="B45" s="6" t="s">
        <v>36</v>
      </c>
      <c r="C45" s="5">
        <v>0.11</v>
      </c>
      <c r="D45" s="4">
        <f>IF(M45&gt;=(K45-L45),0,J45)</f>
        <v>6</v>
      </c>
      <c r="E45" s="15">
        <f>D45*C45</f>
        <v>0.66</v>
      </c>
      <c r="F45" s="12">
        <f>ROUNDUP($F$2*1,0)</f>
        <v>3</v>
      </c>
      <c r="G45" s="12">
        <f>ROUNDUP($F$2*1,0)</f>
        <v>3</v>
      </c>
      <c r="H45" s="12">
        <f>ROUNDUP($F$2*2,0)</f>
        <v>6</v>
      </c>
      <c r="I45" s="12">
        <f>ROUNDUP($F$2*0,0)</f>
        <v>0</v>
      </c>
      <c r="J45" s="12">
        <v>6</v>
      </c>
      <c r="K45" s="4">
        <f>L45+J45</f>
        <v>6</v>
      </c>
      <c r="L45" s="4">
        <v>0</v>
      </c>
      <c r="M45" s="4">
        <v>0</v>
      </c>
      <c r="N45" s="17"/>
    </row>
    <row r="46" spans="1:14" x14ac:dyDescent="0.25">
      <c r="A46" s="19" t="s">
        <v>321</v>
      </c>
      <c r="B46" s="6" t="s">
        <v>36</v>
      </c>
      <c r="C46" s="5">
        <v>0.11</v>
      </c>
      <c r="D46" s="4">
        <f>IF(M46&gt;=(K46-L46),0,J46)</f>
        <v>3</v>
      </c>
      <c r="E46" s="15">
        <f>D46*C46</f>
        <v>0.33</v>
      </c>
      <c r="F46" s="12">
        <f>ROUNDUP($F$2*0,0)</f>
        <v>0</v>
      </c>
      <c r="G46" s="12">
        <f>ROUNDUP($F$2*1,0)</f>
        <v>3</v>
      </c>
      <c r="H46" s="12">
        <f>ROUNDUP($F$2*1,0)</f>
        <v>3</v>
      </c>
      <c r="I46" s="12">
        <f>ROUNDUP($F$2*0,0)</f>
        <v>0</v>
      </c>
      <c r="J46" s="12">
        <v>3</v>
      </c>
      <c r="K46" s="4">
        <f>L46+J46</f>
        <v>3</v>
      </c>
      <c r="L46" s="4">
        <v>0</v>
      </c>
      <c r="M46" s="4">
        <v>0</v>
      </c>
      <c r="N46" s="17"/>
    </row>
    <row r="47" spans="1:14" x14ac:dyDescent="0.25">
      <c r="N47" s="17"/>
    </row>
    <row r="48" spans="1:14" x14ac:dyDescent="0.25">
      <c r="A48" s="4" t="s">
        <v>85</v>
      </c>
      <c r="B48" s="6" t="s">
        <v>36</v>
      </c>
      <c r="C48" s="5">
        <v>0.28999999999999998</v>
      </c>
      <c r="D48" s="4">
        <f>IF(M48&gt;=(K48-L48),0,J48)</f>
        <v>3</v>
      </c>
      <c r="E48" s="15">
        <f t="shared" ref="E48:E49" si="20">D48*C48</f>
        <v>0.86999999999999988</v>
      </c>
      <c r="F48" s="12">
        <f>ROUNDUP($F$2*1,0)</f>
        <v>3</v>
      </c>
      <c r="G48" s="12">
        <f>ROUNDUP($F$2*1,0)</f>
        <v>3</v>
      </c>
      <c r="H48" s="12">
        <f>ROUNDUP($F$2*1,0)</f>
        <v>3</v>
      </c>
      <c r="I48" s="12">
        <f>ROUNDUP($F$2*0,0)</f>
        <v>0</v>
      </c>
      <c r="J48" s="12">
        <v>3</v>
      </c>
      <c r="K48" s="4">
        <f>L48+J48</f>
        <v>3</v>
      </c>
      <c r="L48" s="4">
        <v>0</v>
      </c>
      <c r="M48" s="4">
        <v>0</v>
      </c>
      <c r="N48" s="17"/>
    </row>
    <row r="49" spans="1:14" x14ac:dyDescent="0.25">
      <c r="A49" s="4" t="s">
        <v>86</v>
      </c>
      <c r="B49" s="6" t="s">
        <v>36</v>
      </c>
      <c r="C49" s="5">
        <v>0.28999999999999998</v>
      </c>
      <c r="D49" s="4">
        <f>IF(M49&gt;=(K49-L49),0,J49)</f>
        <v>10</v>
      </c>
      <c r="E49" s="15">
        <f t="shared" si="20"/>
        <v>2.9</v>
      </c>
      <c r="F49" s="12">
        <f>ROUNDUP($F$2*3,0)</f>
        <v>9</v>
      </c>
      <c r="G49" s="12">
        <f>ROUNDUP($F$2*3,0)</f>
        <v>9</v>
      </c>
      <c r="H49" s="12">
        <f>ROUNDUP($F$2*3,0)</f>
        <v>9</v>
      </c>
      <c r="I49" s="12">
        <f>ROUNDUP($F$2*0,0)</f>
        <v>0</v>
      </c>
      <c r="J49" s="12">
        <v>10</v>
      </c>
      <c r="K49" s="4">
        <f>L49+J49</f>
        <v>17</v>
      </c>
      <c r="L49" s="4">
        <v>7</v>
      </c>
      <c r="M49" s="4">
        <v>0</v>
      </c>
      <c r="N49" s="17"/>
    </row>
    <row r="50" spans="1:14" x14ac:dyDescent="0.25">
      <c r="A50" s="4" t="s">
        <v>107</v>
      </c>
      <c r="B50" s="6" t="s">
        <v>36</v>
      </c>
      <c r="C50" s="5">
        <v>0.3</v>
      </c>
      <c r="D50" s="4">
        <f>IF(M50&gt;=(K50-L50),0,J50)</f>
        <v>12</v>
      </c>
      <c r="E50" s="15">
        <f t="shared" ref="E50" si="21">D50*C50</f>
        <v>3.5999999999999996</v>
      </c>
      <c r="F50" s="12">
        <f>ROUNDUP($F$2*4,0)</f>
        <v>12</v>
      </c>
      <c r="G50" s="12">
        <f>ROUNDUP($F$2*4,0)</f>
        <v>12</v>
      </c>
      <c r="H50" s="12">
        <f>ROUNDUP($F$2*4,0)</f>
        <v>12</v>
      </c>
      <c r="I50" s="12">
        <f>ROUNDUP($F$2*0,0)</f>
        <v>0</v>
      </c>
      <c r="J50" s="12">
        <v>12</v>
      </c>
      <c r="K50" s="4">
        <f>L50+J50</f>
        <v>13</v>
      </c>
      <c r="L50" s="4">
        <v>1</v>
      </c>
      <c r="M50" s="4">
        <v>0</v>
      </c>
      <c r="N50" s="17"/>
    </row>
    <row r="51" spans="1:14" x14ac:dyDescent="0.25">
      <c r="A51" s="4"/>
      <c r="B51" s="6"/>
      <c r="C51" s="5"/>
      <c r="D51" s="4"/>
      <c r="E51" s="15"/>
      <c r="F51" s="12"/>
      <c r="G51" s="12"/>
      <c r="H51" s="12"/>
      <c r="I51" s="12"/>
      <c r="J51" s="12"/>
      <c r="K51" s="4"/>
      <c r="L51" s="4"/>
      <c r="M51" s="4"/>
      <c r="N51" s="17"/>
    </row>
    <row r="52" spans="1:14" x14ac:dyDescent="0.25">
      <c r="A52" s="4" t="s">
        <v>313</v>
      </c>
      <c r="B52" s="6" t="s">
        <v>36</v>
      </c>
      <c r="C52" s="5">
        <v>2.42</v>
      </c>
      <c r="D52" s="4">
        <f>IF(M52&gt;=(K52-L52),0,J52)</f>
        <v>0</v>
      </c>
      <c r="E52" s="15">
        <f>D52*C52</f>
        <v>0</v>
      </c>
      <c r="F52" s="12">
        <f>ROUNDUP($F$2*0,0)</f>
        <v>0</v>
      </c>
      <c r="G52" s="12">
        <f>ROUNDUP($F$2*0,0)</f>
        <v>0</v>
      </c>
      <c r="H52" s="12">
        <f>ROUNDUP($F$2*0,0)</f>
        <v>0</v>
      </c>
      <c r="I52" s="12">
        <f>ROUNDUP($F$2*1,0)</f>
        <v>3</v>
      </c>
      <c r="J52" s="12">
        <v>0</v>
      </c>
      <c r="K52" s="4">
        <f>L52+J52</f>
        <v>0</v>
      </c>
      <c r="L52" s="4">
        <v>0</v>
      </c>
      <c r="M52" s="4">
        <v>0</v>
      </c>
      <c r="N52" s="17"/>
    </row>
    <row r="53" spans="1:14" x14ac:dyDescent="0.25">
      <c r="A53" s="4" t="s">
        <v>312</v>
      </c>
      <c r="B53" s="6" t="s">
        <v>36</v>
      </c>
      <c r="C53" s="5">
        <v>0.86</v>
      </c>
      <c r="D53" s="4">
        <f>IF(M53&gt;=(K53-L53),0,J53)</f>
        <v>6</v>
      </c>
      <c r="E53" s="15">
        <f>D53*C53</f>
        <v>5.16</v>
      </c>
      <c r="F53" s="12">
        <f t="shared" ref="F53:H54" si="22">ROUNDUP($F$2*2,0)</f>
        <v>6</v>
      </c>
      <c r="G53" s="12">
        <f t="shared" si="22"/>
        <v>6</v>
      </c>
      <c r="H53" s="12">
        <f t="shared" si="22"/>
        <v>6</v>
      </c>
      <c r="I53" s="12">
        <f>ROUNDUP($F$2*0,0)</f>
        <v>0</v>
      </c>
      <c r="J53" s="12">
        <v>6</v>
      </c>
      <c r="K53" s="4">
        <f>L53+J53</f>
        <v>6</v>
      </c>
      <c r="L53" s="4">
        <v>0</v>
      </c>
      <c r="M53" s="4">
        <v>0</v>
      </c>
    </row>
    <row r="54" spans="1:14" x14ac:dyDescent="0.25">
      <c r="A54" s="4" t="s">
        <v>311</v>
      </c>
      <c r="B54" s="6" t="s">
        <v>36</v>
      </c>
      <c r="C54" s="5">
        <v>2.73</v>
      </c>
      <c r="D54" s="4">
        <f>IF(M54&gt;=(K54-L54),0,J54)</f>
        <v>6</v>
      </c>
      <c r="E54" s="15">
        <f>D54*C54</f>
        <v>16.38</v>
      </c>
      <c r="F54" s="12">
        <f t="shared" si="22"/>
        <v>6</v>
      </c>
      <c r="G54" s="12">
        <f t="shared" si="22"/>
        <v>6</v>
      </c>
      <c r="H54" s="12">
        <f t="shared" si="22"/>
        <v>6</v>
      </c>
      <c r="I54" s="12">
        <f>ROUNDUP($F$2*2,0)</f>
        <v>6</v>
      </c>
      <c r="J54" s="12">
        <v>6</v>
      </c>
      <c r="K54" s="4">
        <f>L54+J54</f>
        <v>6</v>
      </c>
      <c r="L54" s="4">
        <v>0</v>
      </c>
      <c r="M54" s="4">
        <v>0</v>
      </c>
    </row>
    <row r="56" spans="1:14" x14ac:dyDescent="0.25">
      <c r="A56" s="4" t="s">
        <v>130</v>
      </c>
      <c r="B56" s="6" t="s">
        <v>36</v>
      </c>
      <c r="C56" s="5">
        <v>2.84</v>
      </c>
      <c r="D56" s="4">
        <f>IF(M56&gt;=(K56-L56),0,J56)</f>
        <v>3</v>
      </c>
      <c r="E56" s="15">
        <f t="shared" ref="E56" si="23">D56*C56</f>
        <v>8.52</v>
      </c>
      <c r="F56" s="12">
        <f>ROUNDUP($F$2*1,0)</f>
        <v>3</v>
      </c>
      <c r="G56" s="12">
        <f>ROUNDUP($F$2*1,0)</f>
        <v>3</v>
      </c>
      <c r="H56" s="12">
        <f>ROUNDUP($F$2*1,0)</f>
        <v>3</v>
      </c>
      <c r="I56" s="12">
        <f>ROUNDUP($F$2*1,0)</f>
        <v>3</v>
      </c>
      <c r="J56" s="12">
        <v>3</v>
      </c>
      <c r="K56" s="4">
        <f>L56+J56</f>
        <v>3</v>
      </c>
      <c r="L56" s="4">
        <v>0</v>
      </c>
      <c r="M56" s="4">
        <v>0</v>
      </c>
    </row>
    <row r="58" spans="1:14" x14ac:dyDescent="0.25">
      <c r="A58" s="4" t="s">
        <v>75</v>
      </c>
      <c r="B58" s="6" t="s">
        <v>36</v>
      </c>
      <c r="C58" s="5">
        <v>5.5</v>
      </c>
      <c r="D58" s="4">
        <f>IF(M58&gt;=(K58-L58),0,J58)</f>
        <v>3</v>
      </c>
      <c r="E58" s="15">
        <f>D58*C58</f>
        <v>16.5</v>
      </c>
      <c r="F58" s="12">
        <f t="shared" ref="F58:H59" si="24">ROUNDUP($F$2*1,0)</f>
        <v>3</v>
      </c>
      <c r="G58" s="12">
        <f t="shared" si="24"/>
        <v>3</v>
      </c>
      <c r="H58" s="12">
        <f t="shared" si="24"/>
        <v>3</v>
      </c>
      <c r="I58" s="12">
        <f>ROUNDUP($F$2*0,0)</f>
        <v>0</v>
      </c>
      <c r="J58" s="12">
        <v>3</v>
      </c>
      <c r="K58" s="4">
        <f>L58+J58</f>
        <v>3</v>
      </c>
      <c r="L58" s="4">
        <v>0</v>
      </c>
      <c r="M58" s="4">
        <v>0</v>
      </c>
    </row>
    <row r="59" spans="1:14" x14ac:dyDescent="0.25">
      <c r="A59" s="4" t="s">
        <v>80</v>
      </c>
      <c r="B59" s="6" t="s">
        <v>36</v>
      </c>
      <c r="C59" s="5">
        <v>1.1000000000000001</v>
      </c>
      <c r="D59" s="4">
        <f>IF(M59&gt;=(K59-L59),0,J59)</f>
        <v>3</v>
      </c>
      <c r="E59" s="15">
        <f t="shared" ref="E59" si="25">D59*C59</f>
        <v>3.3000000000000003</v>
      </c>
      <c r="F59" s="12">
        <f t="shared" si="24"/>
        <v>3</v>
      </c>
      <c r="G59" s="12">
        <f t="shared" si="24"/>
        <v>3</v>
      </c>
      <c r="H59" s="12">
        <f t="shared" si="24"/>
        <v>3</v>
      </c>
      <c r="I59" s="12">
        <f>ROUNDUP($F$2*0,0)</f>
        <v>0</v>
      </c>
      <c r="J59" s="12">
        <v>3</v>
      </c>
      <c r="K59" s="4">
        <f>L59+J59</f>
        <v>3</v>
      </c>
      <c r="L59" s="4">
        <v>0</v>
      </c>
      <c r="M59" s="4">
        <v>0</v>
      </c>
    </row>
    <row r="60" spans="1:14" x14ac:dyDescent="0.25">
      <c r="A60" s="4" t="s">
        <v>76</v>
      </c>
      <c r="B60" s="6" t="s">
        <v>36</v>
      </c>
      <c r="C60" s="5">
        <v>4.5</v>
      </c>
      <c r="D60" s="4">
        <f>IF(M60&gt;=(K60-L60),0,J60)</f>
        <v>0</v>
      </c>
      <c r="E60" s="15">
        <f>D60*C60</f>
        <v>0</v>
      </c>
      <c r="F60" s="12">
        <f>ROUNDUP($F$2*0,0)</f>
        <v>0</v>
      </c>
      <c r="G60" s="12">
        <f>ROUNDUP($F$2*0,0)</f>
        <v>0</v>
      </c>
      <c r="H60" s="12">
        <f>ROUNDUP($F$2*0,0)</f>
        <v>0</v>
      </c>
      <c r="I60" s="12">
        <f>ROUNDUP($F$2*1,0)</f>
        <v>3</v>
      </c>
      <c r="J60" s="12">
        <v>0</v>
      </c>
      <c r="K60" s="4">
        <f>L60+J60</f>
        <v>0</v>
      </c>
      <c r="L60" s="4">
        <v>0</v>
      </c>
      <c r="M60" s="4">
        <v>0</v>
      </c>
    </row>
    <row r="61" spans="1:14" x14ac:dyDescent="0.25">
      <c r="A61" s="27"/>
      <c r="B61" s="29"/>
      <c r="C61" s="28"/>
      <c r="D61" s="27"/>
      <c r="E61" s="30"/>
      <c r="F61" s="27"/>
      <c r="G61" s="27"/>
      <c r="H61" s="27"/>
      <c r="I61" s="27"/>
      <c r="J61" s="27"/>
      <c r="K61" s="27"/>
      <c r="L61" s="27"/>
      <c r="M61" s="27"/>
    </row>
    <row r="62" spans="1:14" x14ac:dyDescent="0.25">
      <c r="A62" s="4" t="s">
        <v>129</v>
      </c>
      <c r="B62" s="6" t="s">
        <v>36</v>
      </c>
      <c r="C62" s="5">
        <v>0.75</v>
      </c>
      <c r="D62" s="4">
        <f>IF(M62&gt;=(K62-L62),0,J62)</f>
        <v>6</v>
      </c>
      <c r="E62" s="15">
        <f>D62*C62</f>
        <v>4.5</v>
      </c>
      <c r="F62" s="12">
        <f>ROUNDUP($F$2*1,0)</f>
        <v>3</v>
      </c>
      <c r="G62" s="12">
        <f>ROUNDUP($F$2*1,0)</f>
        <v>3</v>
      </c>
      <c r="H62" s="12">
        <f>ROUNDUP($F$2*1,0)</f>
        <v>3</v>
      </c>
      <c r="I62" s="12">
        <f>ROUNDUP($F$2*1,0)</f>
        <v>3</v>
      </c>
      <c r="J62" s="12">
        <v>6</v>
      </c>
      <c r="K62" s="4">
        <f>L62+J62</f>
        <v>6</v>
      </c>
      <c r="L62" s="4">
        <v>0</v>
      </c>
      <c r="M62" s="4">
        <v>0</v>
      </c>
    </row>
    <row r="63" spans="1:14" x14ac:dyDescent="0.25">
      <c r="A63" s="27"/>
      <c r="B63" s="29"/>
      <c r="C63" s="28"/>
      <c r="D63" s="27"/>
      <c r="E63" s="30"/>
      <c r="F63" s="27"/>
      <c r="G63" s="27"/>
      <c r="H63" s="27"/>
      <c r="I63" s="27"/>
      <c r="J63" s="27"/>
      <c r="K63" s="27"/>
      <c r="L63" s="27"/>
      <c r="M63" s="27"/>
    </row>
    <row r="64" spans="1:14" x14ac:dyDescent="0.25">
      <c r="A64" s="4" t="s">
        <v>100</v>
      </c>
      <c r="B64" s="6" t="s">
        <v>40</v>
      </c>
      <c r="C64" s="5">
        <v>9.6999999999999993</v>
      </c>
      <c r="D64" s="4">
        <f>IF(M64&gt;=(K64-L64),0,J64)</f>
        <v>3</v>
      </c>
      <c r="E64" s="15">
        <f>D64*C64</f>
        <v>29.099999999999998</v>
      </c>
      <c r="F64" s="12">
        <f>ROUNDUP($F$2*1,0)</f>
        <v>3</v>
      </c>
      <c r="G64" s="12">
        <f>ROUNDUP($F$2*1,0)</f>
        <v>3</v>
      </c>
      <c r="H64" s="12">
        <f>ROUNDUP($F$2*1,0)</f>
        <v>3</v>
      </c>
      <c r="I64" s="12">
        <f>ROUNDUP($F$2*1,0)</f>
        <v>3</v>
      </c>
      <c r="J64" s="12">
        <v>3</v>
      </c>
      <c r="K64" s="4">
        <f>L64+J64</f>
        <v>3</v>
      </c>
      <c r="L64" s="4">
        <v>0</v>
      </c>
      <c r="M64" s="4">
        <v>0</v>
      </c>
    </row>
    <row r="65" spans="1:13" x14ac:dyDescent="0.25">
      <c r="A65" s="27"/>
      <c r="B65" s="29"/>
      <c r="C65" s="28"/>
      <c r="D65" s="27"/>
      <c r="E65" s="30"/>
      <c r="F65" s="27"/>
      <c r="G65" s="27"/>
      <c r="H65" s="27"/>
      <c r="I65" s="27"/>
      <c r="J65" s="27"/>
      <c r="K65" s="27"/>
      <c r="L65" s="27"/>
      <c r="M65" s="27"/>
    </row>
    <row r="66" spans="1:13" x14ac:dyDescent="0.25">
      <c r="A66" s="4" t="s">
        <v>44</v>
      </c>
      <c r="B66" s="6" t="s">
        <v>36</v>
      </c>
      <c r="C66" s="5">
        <v>2.66</v>
      </c>
      <c r="D66" s="4">
        <f>IF(M66&gt;=(K66-L66),0,J66)</f>
        <v>3</v>
      </c>
      <c r="E66" s="15">
        <f t="shared" ref="E66" si="26">D66*C66</f>
        <v>7.98</v>
      </c>
      <c r="F66" s="12">
        <f>ROUNDUP($F$2*1,0)</f>
        <v>3</v>
      </c>
      <c r="G66" s="12">
        <f>ROUNDUP($F$2*1,0)</f>
        <v>3</v>
      </c>
      <c r="H66" s="12">
        <f>ROUNDUP($F$2*1,0)</f>
        <v>3</v>
      </c>
      <c r="I66" s="12">
        <f>ROUNDUP($F$2*1,0)</f>
        <v>3</v>
      </c>
      <c r="J66" s="12">
        <v>3</v>
      </c>
      <c r="K66" s="4">
        <f>L66+J66</f>
        <v>3</v>
      </c>
      <c r="L66" s="4">
        <v>0</v>
      </c>
      <c r="M66" s="4">
        <v>0</v>
      </c>
    </row>
    <row r="67" spans="1:13" x14ac:dyDescent="0.25">
      <c r="A67" s="4" t="s">
        <v>46</v>
      </c>
      <c r="B67" s="6" t="s">
        <v>36</v>
      </c>
      <c r="C67" s="5">
        <v>0.14000000000000001</v>
      </c>
      <c r="D67" s="4">
        <f>IF(M67&gt;=(K67-L67),0,J67)</f>
        <v>10</v>
      </c>
      <c r="E67" s="15">
        <f t="shared" ref="E67:E68" si="27">D67*C67</f>
        <v>1.4000000000000001</v>
      </c>
      <c r="F67" s="12">
        <f>ROUNDUP($F$2*3,0)</f>
        <v>9</v>
      </c>
      <c r="G67" s="12">
        <f>ROUNDUP($F$2*3,0)</f>
        <v>9</v>
      </c>
      <c r="H67" s="12">
        <f>ROUNDUP($F$2*3,0)</f>
        <v>9</v>
      </c>
      <c r="I67" s="12">
        <f>ROUNDUP($F$2*3,0)</f>
        <v>9</v>
      </c>
      <c r="J67" s="12">
        <v>10</v>
      </c>
      <c r="K67" s="4">
        <f>L67+J67</f>
        <v>19</v>
      </c>
      <c r="L67" s="4">
        <v>9</v>
      </c>
      <c r="M67" s="4">
        <v>0</v>
      </c>
    </row>
    <row r="68" spans="1:13" x14ac:dyDescent="0.25">
      <c r="A68" s="4" t="s">
        <v>318</v>
      </c>
      <c r="B68" s="6" t="s">
        <v>36</v>
      </c>
      <c r="C68" s="5">
        <v>0.39</v>
      </c>
      <c r="D68" s="4">
        <f>IF(M68&gt;=(K68-L68),0,J68)</f>
        <v>3</v>
      </c>
      <c r="E68" s="15">
        <f t="shared" si="27"/>
        <v>1.17</v>
      </c>
      <c r="F68" s="12">
        <f>ROUNDUP($F$2*0,0)</f>
        <v>0</v>
      </c>
      <c r="G68" s="12">
        <f>ROUNDUP($F$2*1,0)</f>
        <v>3</v>
      </c>
      <c r="H68" s="12">
        <f>ROUNDUP($F$2*1,0)</f>
        <v>3</v>
      </c>
      <c r="I68" s="12">
        <f>ROUNDUP($F$2*0,0)</f>
        <v>0</v>
      </c>
      <c r="J68" s="12">
        <v>3</v>
      </c>
      <c r="K68" s="4">
        <f>L68+J68</f>
        <v>3</v>
      </c>
      <c r="L68" s="4">
        <v>0</v>
      </c>
      <c r="M68" s="4">
        <v>0</v>
      </c>
    </row>
    <row r="69" spans="1:13" x14ac:dyDescent="0.25">
      <c r="A69" s="4" t="s">
        <v>319</v>
      </c>
      <c r="B69" s="6" t="s">
        <v>36</v>
      </c>
      <c r="C69" s="5">
        <v>0.96</v>
      </c>
      <c r="D69" s="4">
        <f t="shared" ref="D69:D70" si="28">IF(M69&gt;=(K69-L69),0,J69)</f>
        <v>3</v>
      </c>
      <c r="E69" s="15">
        <f t="shared" ref="E69:E70" si="29">D69*C69</f>
        <v>2.88</v>
      </c>
      <c r="F69" s="12">
        <f t="shared" ref="F69:F71" si="30">ROUNDUP($F$2*0,0)</f>
        <v>0</v>
      </c>
      <c r="G69" s="12">
        <f t="shared" ref="G69:H71" si="31">ROUNDUP($F$2*1,0)</f>
        <v>3</v>
      </c>
      <c r="H69" s="12">
        <f t="shared" si="31"/>
        <v>3</v>
      </c>
      <c r="I69" s="12">
        <f t="shared" ref="I69:I71" si="32">ROUNDUP($F$2*0,0)</f>
        <v>0</v>
      </c>
      <c r="J69" s="12">
        <v>3</v>
      </c>
      <c r="K69" s="4">
        <f t="shared" ref="K69:K70" si="33">L69+J69</f>
        <v>3</v>
      </c>
      <c r="L69" s="4">
        <v>0</v>
      </c>
      <c r="M69" s="4">
        <v>0</v>
      </c>
    </row>
    <row r="70" spans="1:13" x14ac:dyDescent="0.25">
      <c r="A70" s="4" t="s">
        <v>320</v>
      </c>
      <c r="B70" s="6" t="s">
        <v>36</v>
      </c>
      <c r="C70" s="5">
        <v>2.56</v>
      </c>
      <c r="D70" s="4">
        <f t="shared" si="28"/>
        <v>3</v>
      </c>
      <c r="E70" s="15">
        <f t="shared" si="29"/>
        <v>7.68</v>
      </c>
      <c r="F70" s="12">
        <f t="shared" si="30"/>
        <v>0</v>
      </c>
      <c r="G70" s="12">
        <f t="shared" si="31"/>
        <v>3</v>
      </c>
      <c r="H70" s="12">
        <f t="shared" si="31"/>
        <v>3</v>
      </c>
      <c r="I70" s="12">
        <f t="shared" si="32"/>
        <v>0</v>
      </c>
      <c r="J70" s="12">
        <v>3</v>
      </c>
      <c r="K70" s="4">
        <f t="shared" si="33"/>
        <v>3</v>
      </c>
      <c r="L70" s="4">
        <v>0</v>
      </c>
      <c r="M70" s="4">
        <v>0</v>
      </c>
    </row>
    <row r="71" spans="1:13" x14ac:dyDescent="0.25">
      <c r="A71" s="36" t="s">
        <v>326</v>
      </c>
      <c r="B71" s="6" t="s">
        <v>36</v>
      </c>
      <c r="C71" s="5">
        <v>3.5</v>
      </c>
      <c r="D71" s="4">
        <f t="shared" ref="D71" si="34">IF(M71&gt;=(K71-L71),0,J71)</f>
        <v>3</v>
      </c>
      <c r="E71" s="15">
        <f t="shared" ref="E71" si="35">D71*C71</f>
        <v>10.5</v>
      </c>
      <c r="F71" s="12">
        <f t="shared" si="30"/>
        <v>0</v>
      </c>
      <c r="G71" s="12">
        <f>ROUNDUP($F$2*0,0)</f>
        <v>0</v>
      </c>
      <c r="H71" s="12">
        <f t="shared" si="31"/>
        <v>3</v>
      </c>
      <c r="I71" s="12">
        <f t="shared" si="32"/>
        <v>0</v>
      </c>
      <c r="J71" s="12">
        <v>3</v>
      </c>
      <c r="K71" s="4">
        <f t="shared" ref="K71" si="36">L71+J71</f>
        <v>3</v>
      </c>
      <c r="L71" s="4">
        <v>0</v>
      </c>
      <c r="M71" s="4">
        <v>0</v>
      </c>
    </row>
    <row r="73" spans="1:13" x14ac:dyDescent="0.25">
      <c r="A73" s="4" t="s">
        <v>45</v>
      </c>
      <c r="B73" s="6" t="s">
        <v>36</v>
      </c>
      <c r="C73" s="5">
        <v>0.86</v>
      </c>
      <c r="D73" s="4">
        <f>IF(M73&gt;=(K73-L73),0,J73)</f>
        <v>0</v>
      </c>
      <c r="E73" s="15">
        <f>D73*C73</f>
        <v>0</v>
      </c>
      <c r="F73" s="12">
        <f>ROUNDUP($F$2*0,0)</f>
        <v>0</v>
      </c>
      <c r="G73" s="12">
        <f>ROUNDUP($F$2*0,0)</f>
        <v>0</v>
      </c>
      <c r="H73" s="12">
        <f>ROUNDUP($F$2*0,0)</f>
        <v>0</v>
      </c>
      <c r="I73" s="12">
        <f>ROUNDUP($F$2*1,0)</f>
        <v>3</v>
      </c>
      <c r="J73" s="12">
        <v>0</v>
      </c>
      <c r="K73" s="4">
        <f>L73+J73</f>
        <v>0</v>
      </c>
      <c r="L73" s="4">
        <v>0</v>
      </c>
      <c r="M73" s="4">
        <v>0</v>
      </c>
    </row>
    <row r="74" spans="1:13" x14ac:dyDescent="0.25">
      <c r="A74" s="4" t="s">
        <v>71</v>
      </c>
      <c r="B74" s="6" t="s">
        <v>36</v>
      </c>
      <c r="C74" s="5">
        <v>1.1100000000000001</v>
      </c>
      <c r="D74" s="4">
        <f>IF(M74&gt;=(K74-L74),0,J74)</f>
        <v>0</v>
      </c>
      <c r="E74" s="15">
        <f>D74*C74</f>
        <v>0</v>
      </c>
      <c r="F74" s="12">
        <f>ROUNDUP($F$2*1,0)</f>
        <v>3</v>
      </c>
      <c r="G74" s="12">
        <f>ROUNDUP($F$2*0,0)</f>
        <v>0</v>
      </c>
      <c r="H74" s="12">
        <f>ROUNDUP($F$2*0,0)</f>
        <v>0</v>
      </c>
      <c r="I74" s="12">
        <f>ROUNDUP($F$2*1,0)</f>
        <v>3</v>
      </c>
      <c r="J74" s="12">
        <v>0</v>
      </c>
      <c r="K74" s="4">
        <f>L74+J74</f>
        <v>0</v>
      </c>
      <c r="L74" s="4">
        <v>0</v>
      </c>
      <c r="M74" s="4">
        <v>0</v>
      </c>
    </row>
    <row r="75" spans="1:13" x14ac:dyDescent="0.25">
      <c r="A75" s="4" t="s">
        <v>99</v>
      </c>
      <c r="B75" s="6" t="s">
        <v>36</v>
      </c>
      <c r="C75" s="5">
        <v>2.04</v>
      </c>
      <c r="D75" s="4">
        <f>IF(M75&gt;=(K75-L75),0,J75)</f>
        <v>0</v>
      </c>
      <c r="E75" s="15">
        <f t="shared" ref="E75" si="37">D75*C75</f>
        <v>0</v>
      </c>
      <c r="F75" s="12">
        <f>ROUNDUP($F$2*1,0)</f>
        <v>3</v>
      </c>
      <c r="G75" s="12">
        <f>ROUNDUP($F$2*0,0)</f>
        <v>0</v>
      </c>
      <c r="H75" s="12">
        <f>ROUNDUP($F$2*0,0)</f>
        <v>0</v>
      </c>
      <c r="I75" s="12">
        <f>ROUNDUP($F$2*1,0)</f>
        <v>3</v>
      </c>
      <c r="J75" s="12">
        <v>0</v>
      </c>
      <c r="K75" s="4">
        <f>L75+J75</f>
        <v>0</v>
      </c>
      <c r="L75" s="4">
        <v>0</v>
      </c>
      <c r="M75" s="4">
        <v>0</v>
      </c>
    </row>
    <row r="77" spans="1:13" x14ac:dyDescent="0.25">
      <c r="A77" s="27"/>
      <c r="B77" s="29"/>
      <c r="C77" s="28"/>
      <c r="D77" s="27"/>
      <c r="E77" s="30"/>
      <c r="F77" s="27"/>
      <c r="G77" s="27"/>
      <c r="H77" s="27"/>
      <c r="I77" s="27"/>
      <c r="J77" s="27"/>
      <c r="K77" s="27"/>
      <c r="L77" s="27"/>
      <c r="M77" s="27"/>
    </row>
    <row r="78" spans="1:13" x14ac:dyDescent="0.25">
      <c r="A78" s="17" t="s">
        <v>314</v>
      </c>
      <c r="B78" s="29"/>
      <c r="C78" s="28"/>
      <c r="D78" s="27"/>
      <c r="E78" s="30"/>
      <c r="F78" s="27"/>
      <c r="G78" s="27"/>
      <c r="H78" s="27"/>
      <c r="I78" s="27"/>
      <c r="J78" s="27"/>
      <c r="K78" s="27"/>
      <c r="L78" s="27"/>
      <c r="M78" s="27"/>
    </row>
    <row r="79" spans="1:13" x14ac:dyDescent="0.25">
      <c r="A79" s="4" t="s">
        <v>104</v>
      </c>
      <c r="B79" s="6" t="s">
        <v>40</v>
      </c>
      <c r="C79" s="5">
        <v>72.900000000000006</v>
      </c>
      <c r="D79" s="4">
        <f t="shared" ref="D79:D102" si="38">IF(M79&gt;=(K79-L79),0,J79)</f>
        <v>0</v>
      </c>
      <c r="E79" s="15">
        <f t="shared" ref="E79:E89" si="39">D79*C79</f>
        <v>0</v>
      </c>
      <c r="F79" s="12"/>
      <c r="G79" s="12"/>
      <c r="H79" s="12"/>
      <c r="I79" s="12"/>
      <c r="J79" s="12">
        <v>0</v>
      </c>
      <c r="K79" s="4">
        <f t="shared" ref="K79:K102" si="40">L79+J79</f>
        <v>0</v>
      </c>
      <c r="L79" s="4">
        <v>0</v>
      </c>
      <c r="M79" s="4">
        <v>0</v>
      </c>
    </row>
    <row r="80" spans="1:13" x14ac:dyDescent="0.25">
      <c r="A80" s="4" t="s">
        <v>105</v>
      </c>
      <c r="B80" s="6" t="s">
        <v>40</v>
      </c>
      <c r="C80" s="5">
        <v>36.049999999999997</v>
      </c>
      <c r="D80" s="4">
        <f t="shared" si="38"/>
        <v>0</v>
      </c>
      <c r="E80" s="15">
        <f t="shared" si="39"/>
        <v>0</v>
      </c>
      <c r="F80" s="12"/>
      <c r="G80" s="12"/>
      <c r="H80" s="12"/>
      <c r="I80" s="12"/>
      <c r="J80" s="12">
        <v>0</v>
      </c>
      <c r="K80" s="4">
        <f t="shared" si="40"/>
        <v>0</v>
      </c>
      <c r="L80" s="4">
        <v>0</v>
      </c>
      <c r="M80" s="4">
        <v>0</v>
      </c>
    </row>
    <row r="81" spans="1:13" x14ac:dyDescent="0.25">
      <c r="A81" s="4" t="s">
        <v>106</v>
      </c>
      <c r="B81" s="6" t="s">
        <v>40</v>
      </c>
      <c r="C81" s="5">
        <v>9.99</v>
      </c>
      <c r="D81" s="4">
        <f t="shared" si="38"/>
        <v>0</v>
      </c>
      <c r="E81" s="15">
        <f t="shared" si="39"/>
        <v>0</v>
      </c>
      <c r="F81" s="12"/>
      <c r="G81" s="12"/>
      <c r="H81" s="12"/>
      <c r="I81" s="12"/>
      <c r="J81" s="12">
        <v>0</v>
      </c>
      <c r="K81" s="4">
        <f t="shared" si="40"/>
        <v>0</v>
      </c>
      <c r="L81" s="4">
        <v>0</v>
      </c>
      <c r="M81" s="4">
        <v>0</v>
      </c>
    </row>
    <row r="82" spans="1:13" x14ac:dyDescent="0.25">
      <c r="A82" s="7" t="s">
        <v>327</v>
      </c>
      <c r="B82" s="8" t="s">
        <v>40</v>
      </c>
      <c r="C82" s="9">
        <v>15.83</v>
      </c>
      <c r="D82" s="4">
        <f t="shared" ref="D82:D83" si="41">IF(M82&gt;=(K82-L82),0,J82)</f>
        <v>1</v>
      </c>
      <c r="E82" s="15">
        <f t="shared" si="39"/>
        <v>15.83</v>
      </c>
      <c r="F82" s="12"/>
      <c r="G82" s="12"/>
      <c r="H82" s="12"/>
      <c r="I82" s="12"/>
      <c r="J82" s="12">
        <v>1</v>
      </c>
      <c r="K82" s="4">
        <f t="shared" ref="K82:K83" si="42">L82+J82</f>
        <v>1</v>
      </c>
      <c r="L82" s="4">
        <v>0</v>
      </c>
      <c r="M82" s="4">
        <v>0</v>
      </c>
    </row>
    <row r="83" spans="1:13" x14ac:dyDescent="0.25">
      <c r="A83" s="7" t="s">
        <v>328</v>
      </c>
      <c r="B83" s="8" t="s">
        <v>40</v>
      </c>
      <c r="C83" s="9">
        <v>5.99</v>
      </c>
      <c r="D83" s="4">
        <f t="shared" si="41"/>
        <v>1</v>
      </c>
      <c r="E83" s="15">
        <f t="shared" si="39"/>
        <v>5.99</v>
      </c>
      <c r="F83" s="12"/>
      <c r="G83" s="12"/>
      <c r="H83" s="12"/>
      <c r="I83" s="12"/>
      <c r="J83" s="12">
        <v>1</v>
      </c>
      <c r="K83" s="4">
        <f t="shared" si="42"/>
        <v>1</v>
      </c>
      <c r="L83" s="4">
        <v>0</v>
      </c>
      <c r="M83" s="4">
        <v>0</v>
      </c>
    </row>
    <row r="84" spans="1:13" x14ac:dyDescent="0.25">
      <c r="A84" s="7" t="s">
        <v>329</v>
      </c>
      <c r="B84" s="8" t="s">
        <v>40</v>
      </c>
      <c r="C84" s="9">
        <v>7.49</v>
      </c>
      <c r="D84" s="4">
        <f t="shared" ref="D84" si="43">IF(M84&gt;=(K84-L84),0,J84)</f>
        <v>1</v>
      </c>
      <c r="E84" s="15">
        <f t="shared" si="39"/>
        <v>7.49</v>
      </c>
      <c r="F84" s="12"/>
      <c r="G84" s="12"/>
      <c r="H84" s="12"/>
      <c r="I84" s="12"/>
      <c r="J84" s="12">
        <v>1</v>
      </c>
      <c r="K84" s="4">
        <f t="shared" ref="K84" si="44">L84+J84</f>
        <v>1</v>
      </c>
      <c r="L84" s="4">
        <v>0</v>
      </c>
      <c r="M84" s="4">
        <v>0</v>
      </c>
    </row>
    <row r="85" spans="1:13" x14ac:dyDescent="0.25">
      <c r="A85" s="7" t="s">
        <v>330</v>
      </c>
      <c r="B85" s="8" t="s">
        <v>40</v>
      </c>
      <c r="C85" s="9">
        <v>12.29</v>
      </c>
      <c r="D85" s="4">
        <f t="shared" ref="D85:D87" si="45">IF(M85&gt;=(K85-L85),0,J85)</f>
        <v>1</v>
      </c>
      <c r="E85" s="15">
        <f t="shared" si="39"/>
        <v>12.29</v>
      </c>
      <c r="F85" s="12"/>
      <c r="G85" s="12"/>
      <c r="H85" s="12"/>
      <c r="I85" s="12"/>
      <c r="J85" s="12">
        <v>1</v>
      </c>
      <c r="K85" s="4">
        <f t="shared" ref="K85:K87" si="46">L85+J85</f>
        <v>1</v>
      </c>
      <c r="L85" s="4">
        <v>0</v>
      </c>
      <c r="M85" s="4">
        <v>0</v>
      </c>
    </row>
    <row r="86" spans="1:13" x14ac:dyDescent="0.25">
      <c r="A86" s="7" t="s">
        <v>332</v>
      </c>
      <c r="B86" s="8" t="s">
        <v>40</v>
      </c>
      <c r="C86" s="9">
        <v>9.9499999999999993</v>
      </c>
      <c r="D86" s="4">
        <f t="shared" ref="D86" si="47">IF(M86&gt;=(K86-L86),0,J86)</f>
        <v>1</v>
      </c>
      <c r="E86" s="15">
        <f t="shared" ref="E86" si="48">D86*C86</f>
        <v>9.9499999999999993</v>
      </c>
      <c r="F86" s="12"/>
      <c r="G86" s="12"/>
      <c r="H86" s="12"/>
      <c r="I86" s="12"/>
      <c r="J86" s="12">
        <v>1</v>
      </c>
      <c r="K86" s="4">
        <f t="shared" ref="K86" si="49">L86+J86</f>
        <v>1</v>
      </c>
      <c r="L86" s="4">
        <v>0</v>
      </c>
      <c r="M86" s="4">
        <v>0</v>
      </c>
    </row>
    <row r="87" spans="1:13" x14ac:dyDescent="0.25">
      <c r="A87" s="7" t="s">
        <v>331</v>
      </c>
      <c r="B87" s="8" t="s">
        <v>40</v>
      </c>
      <c r="C87" s="9">
        <v>5.3</v>
      </c>
      <c r="D87" s="4">
        <f t="shared" si="45"/>
        <v>1</v>
      </c>
      <c r="E87" s="15">
        <f t="shared" si="39"/>
        <v>5.3</v>
      </c>
      <c r="F87" s="12"/>
      <c r="G87" s="12"/>
      <c r="H87" s="12"/>
      <c r="I87" s="12"/>
      <c r="J87" s="12">
        <v>1</v>
      </c>
      <c r="K87" s="4">
        <f t="shared" si="46"/>
        <v>1</v>
      </c>
      <c r="L87" s="4">
        <v>0</v>
      </c>
      <c r="M87" s="4">
        <v>0</v>
      </c>
    </row>
    <row r="88" spans="1:13" x14ac:dyDescent="0.25">
      <c r="A88" s="7" t="s">
        <v>25</v>
      </c>
      <c r="B88" s="8" t="s">
        <v>38</v>
      </c>
      <c r="C88" s="9">
        <v>3.95</v>
      </c>
      <c r="D88" s="4">
        <f t="shared" si="38"/>
        <v>0</v>
      </c>
      <c r="E88" s="16">
        <f t="shared" si="39"/>
        <v>0</v>
      </c>
      <c r="F88" s="14"/>
      <c r="G88" s="14"/>
      <c r="H88" s="14"/>
      <c r="I88" s="14"/>
      <c r="J88" s="14">
        <v>0</v>
      </c>
      <c r="K88" s="4">
        <f t="shared" si="40"/>
        <v>0</v>
      </c>
      <c r="L88" s="7">
        <v>0</v>
      </c>
      <c r="M88" s="7">
        <v>0</v>
      </c>
    </row>
    <row r="89" spans="1:13" x14ac:dyDescent="0.25">
      <c r="A89" s="4" t="s">
        <v>26</v>
      </c>
      <c r="B89" s="6" t="s">
        <v>40</v>
      </c>
      <c r="C89" s="5">
        <v>4.6900000000000004</v>
      </c>
      <c r="D89" s="4">
        <f t="shared" si="38"/>
        <v>0</v>
      </c>
      <c r="E89" s="15">
        <f t="shared" si="39"/>
        <v>0</v>
      </c>
      <c r="F89" s="12"/>
      <c r="G89" s="12"/>
      <c r="H89" s="12"/>
      <c r="I89" s="12"/>
      <c r="J89" s="12">
        <v>0</v>
      </c>
      <c r="K89" s="4">
        <f t="shared" si="40"/>
        <v>0</v>
      </c>
      <c r="L89" s="4">
        <v>0</v>
      </c>
      <c r="M89" s="4">
        <v>0</v>
      </c>
    </row>
    <row r="90" spans="1:13" x14ac:dyDescent="0.25">
      <c r="A90" s="4" t="s">
        <v>95</v>
      </c>
      <c r="B90" s="6" t="s">
        <v>72</v>
      </c>
      <c r="C90" s="5">
        <v>2.95</v>
      </c>
      <c r="D90" s="4">
        <f t="shared" si="38"/>
        <v>0</v>
      </c>
      <c r="E90" s="15">
        <f t="shared" ref="E90:E94" si="50">D90*C90</f>
        <v>0</v>
      </c>
      <c r="F90" s="12"/>
      <c r="G90" s="12"/>
      <c r="H90" s="12"/>
      <c r="I90" s="12"/>
      <c r="J90" s="12">
        <v>0</v>
      </c>
      <c r="K90" s="4">
        <f t="shared" si="40"/>
        <v>0</v>
      </c>
      <c r="L90" s="4">
        <v>0</v>
      </c>
      <c r="M90" s="4">
        <v>0</v>
      </c>
    </row>
    <row r="91" spans="1:13" x14ac:dyDescent="0.25">
      <c r="A91" s="4" t="s">
        <v>26</v>
      </c>
      <c r="B91" s="6" t="s">
        <v>36</v>
      </c>
      <c r="C91" s="5">
        <v>2.31</v>
      </c>
      <c r="D91" s="4">
        <f t="shared" si="38"/>
        <v>0</v>
      </c>
      <c r="E91" s="15">
        <f t="shared" ref="E91" si="51">D91*C91</f>
        <v>0</v>
      </c>
      <c r="F91" s="12"/>
      <c r="G91" s="12"/>
      <c r="H91" s="12"/>
      <c r="I91" s="12"/>
      <c r="J91" s="12">
        <v>0</v>
      </c>
      <c r="K91" s="4">
        <f t="shared" si="40"/>
        <v>0</v>
      </c>
      <c r="L91" s="4">
        <v>0</v>
      </c>
      <c r="M91" s="4">
        <v>0</v>
      </c>
    </row>
    <row r="92" spans="1:13" x14ac:dyDescent="0.25">
      <c r="A92" s="4" t="s">
        <v>94</v>
      </c>
      <c r="B92" s="6" t="s">
        <v>38</v>
      </c>
      <c r="C92" s="5">
        <v>5.95</v>
      </c>
      <c r="D92" s="4">
        <f t="shared" si="38"/>
        <v>0</v>
      </c>
      <c r="E92" s="15">
        <f t="shared" si="50"/>
        <v>0</v>
      </c>
      <c r="F92" s="12"/>
      <c r="G92" s="12"/>
      <c r="H92" s="12"/>
      <c r="I92" s="12"/>
      <c r="J92" s="12">
        <v>0</v>
      </c>
      <c r="K92" s="4">
        <f t="shared" si="40"/>
        <v>0</v>
      </c>
      <c r="L92" s="4">
        <v>0</v>
      </c>
      <c r="M92" s="4">
        <v>0</v>
      </c>
    </row>
    <row r="93" spans="1:13" x14ac:dyDescent="0.25">
      <c r="A93" s="4" t="s">
        <v>96</v>
      </c>
      <c r="B93" s="6" t="s">
        <v>72</v>
      </c>
      <c r="C93" s="5">
        <v>7.95</v>
      </c>
      <c r="D93" s="4">
        <f t="shared" si="38"/>
        <v>0</v>
      </c>
      <c r="E93" s="15">
        <f t="shared" si="50"/>
        <v>0</v>
      </c>
      <c r="F93" s="12"/>
      <c r="G93" s="12"/>
      <c r="H93" s="12"/>
      <c r="I93" s="12"/>
      <c r="J93" s="12">
        <v>0</v>
      </c>
      <c r="K93" s="4">
        <f t="shared" si="40"/>
        <v>0</v>
      </c>
      <c r="L93" s="4">
        <v>0</v>
      </c>
      <c r="M93" s="4">
        <v>0</v>
      </c>
    </row>
    <row r="94" spans="1:13" x14ac:dyDescent="0.25">
      <c r="A94" s="4" t="s">
        <v>97</v>
      </c>
      <c r="B94" s="6" t="s">
        <v>72</v>
      </c>
      <c r="C94" s="5">
        <v>6.95</v>
      </c>
      <c r="D94" s="4">
        <f t="shared" si="38"/>
        <v>0</v>
      </c>
      <c r="E94" s="15">
        <f t="shared" si="50"/>
        <v>0</v>
      </c>
      <c r="F94" s="12"/>
      <c r="G94" s="12"/>
      <c r="H94" s="12"/>
      <c r="I94" s="12"/>
      <c r="J94" s="12">
        <v>0</v>
      </c>
      <c r="K94" s="4">
        <f t="shared" si="40"/>
        <v>0</v>
      </c>
      <c r="L94" s="4">
        <v>0</v>
      </c>
      <c r="M94" s="4">
        <v>0</v>
      </c>
    </row>
    <row r="95" spans="1:13" x14ac:dyDescent="0.25">
      <c r="A95" s="4" t="s">
        <v>103</v>
      </c>
      <c r="B95" s="6" t="s">
        <v>36</v>
      </c>
      <c r="C95" s="5">
        <v>4.25</v>
      </c>
      <c r="D95" s="4">
        <f t="shared" si="38"/>
        <v>0</v>
      </c>
      <c r="E95" s="15">
        <f t="shared" ref="E95" si="52">D95*C95</f>
        <v>0</v>
      </c>
      <c r="F95" s="12"/>
      <c r="G95" s="12"/>
      <c r="H95" s="12"/>
      <c r="I95" s="12"/>
      <c r="J95" s="12">
        <v>0</v>
      </c>
      <c r="K95" s="4">
        <f t="shared" si="40"/>
        <v>0</v>
      </c>
      <c r="L95" s="4">
        <v>0</v>
      </c>
      <c r="M95" s="4">
        <v>0</v>
      </c>
    </row>
    <row r="96" spans="1:13" x14ac:dyDescent="0.25">
      <c r="A96" s="4" t="s">
        <v>127</v>
      </c>
      <c r="B96" s="6" t="s">
        <v>40</v>
      </c>
      <c r="C96" s="5">
        <v>24.95</v>
      </c>
      <c r="D96" s="4">
        <f t="shared" si="38"/>
        <v>0</v>
      </c>
      <c r="E96" s="15">
        <f t="shared" ref="E96" si="53">D96*C96</f>
        <v>0</v>
      </c>
      <c r="F96" s="12"/>
      <c r="G96" s="12"/>
      <c r="H96" s="12"/>
      <c r="I96" s="12"/>
      <c r="J96" s="12">
        <v>0</v>
      </c>
      <c r="K96" s="4">
        <f t="shared" si="40"/>
        <v>0</v>
      </c>
      <c r="L96" s="4">
        <v>0</v>
      </c>
      <c r="M96" s="4">
        <v>0</v>
      </c>
    </row>
    <row r="97" spans="1:13" x14ac:dyDescent="0.25">
      <c r="A97" s="4" t="s">
        <v>27</v>
      </c>
      <c r="B97" s="6" t="s">
        <v>40</v>
      </c>
      <c r="C97" s="5">
        <v>93.37</v>
      </c>
      <c r="D97" s="4">
        <f t="shared" si="38"/>
        <v>0</v>
      </c>
      <c r="E97" s="15">
        <f>D97*C97</f>
        <v>0</v>
      </c>
      <c r="F97" s="12"/>
      <c r="G97" s="12"/>
      <c r="H97" s="12"/>
      <c r="I97" s="12"/>
      <c r="J97" s="12">
        <v>0</v>
      </c>
      <c r="K97" s="4">
        <f t="shared" si="40"/>
        <v>0</v>
      </c>
      <c r="L97" s="4">
        <v>0</v>
      </c>
      <c r="M97" s="4">
        <v>0</v>
      </c>
    </row>
    <row r="98" spans="1:13" x14ac:dyDescent="0.25">
      <c r="A98" s="4" t="s">
        <v>28</v>
      </c>
      <c r="B98" s="6" t="s">
        <v>40</v>
      </c>
      <c r="C98" s="5">
        <v>6.11</v>
      </c>
      <c r="D98" s="4">
        <f t="shared" si="38"/>
        <v>0</v>
      </c>
      <c r="E98" s="15">
        <f>D98*C98</f>
        <v>0</v>
      </c>
      <c r="F98" s="12"/>
      <c r="G98" s="12"/>
      <c r="H98" s="12"/>
      <c r="I98" s="12"/>
      <c r="J98" s="12">
        <v>0</v>
      </c>
      <c r="K98" s="4">
        <f t="shared" si="40"/>
        <v>0</v>
      </c>
      <c r="L98" s="4">
        <v>0</v>
      </c>
      <c r="M98" s="4">
        <v>0</v>
      </c>
    </row>
    <row r="99" spans="1:13" x14ac:dyDescent="0.25">
      <c r="A99" s="4" t="s">
        <v>28</v>
      </c>
      <c r="B99" s="6" t="s">
        <v>36</v>
      </c>
      <c r="C99" s="5">
        <v>4.0999999999999996</v>
      </c>
      <c r="D99" s="4">
        <f t="shared" si="38"/>
        <v>0</v>
      </c>
      <c r="E99" s="15">
        <f t="shared" ref="E99" si="54">D99*C99</f>
        <v>0</v>
      </c>
      <c r="F99" s="12"/>
      <c r="G99" s="12"/>
      <c r="H99" s="12"/>
      <c r="I99" s="12"/>
      <c r="J99" s="12">
        <v>0</v>
      </c>
      <c r="K99" s="4">
        <f t="shared" si="40"/>
        <v>0</v>
      </c>
      <c r="L99" s="4">
        <v>0</v>
      </c>
      <c r="M99" s="4">
        <v>0</v>
      </c>
    </row>
    <row r="100" spans="1:13" x14ac:dyDescent="0.25">
      <c r="A100" s="4" t="s">
        <v>43</v>
      </c>
      <c r="B100" s="6" t="s">
        <v>40</v>
      </c>
      <c r="C100" s="5">
        <v>8.99</v>
      </c>
      <c r="D100" s="4">
        <f t="shared" si="38"/>
        <v>0</v>
      </c>
      <c r="E100" s="15">
        <f>D100*C100</f>
        <v>0</v>
      </c>
      <c r="F100" s="12"/>
      <c r="G100" s="12"/>
      <c r="H100" s="12"/>
      <c r="I100" s="12"/>
      <c r="J100" s="12">
        <v>0</v>
      </c>
      <c r="K100" s="4">
        <f t="shared" si="40"/>
        <v>0</v>
      </c>
      <c r="L100" s="4">
        <v>0</v>
      </c>
      <c r="M100" s="4">
        <v>0</v>
      </c>
    </row>
    <row r="101" spans="1:13" x14ac:dyDescent="0.25">
      <c r="A101" s="4" t="s">
        <v>82</v>
      </c>
      <c r="B101" s="6" t="s">
        <v>36</v>
      </c>
      <c r="C101" s="5">
        <v>0.38</v>
      </c>
      <c r="D101" s="4">
        <f t="shared" si="38"/>
        <v>0</v>
      </c>
      <c r="E101" s="15">
        <f>D101*C101</f>
        <v>0</v>
      </c>
      <c r="F101" s="12"/>
      <c r="G101" s="12"/>
      <c r="H101" s="12"/>
      <c r="I101" s="12"/>
      <c r="J101" s="12">
        <v>0</v>
      </c>
      <c r="K101" s="4">
        <f t="shared" si="40"/>
        <v>0</v>
      </c>
      <c r="L101" s="4">
        <v>0</v>
      </c>
      <c r="M101" s="4">
        <v>0</v>
      </c>
    </row>
    <row r="102" spans="1:13" x14ac:dyDescent="0.25">
      <c r="A102" s="4" t="s">
        <v>29</v>
      </c>
      <c r="B102" s="6" t="s">
        <v>40</v>
      </c>
      <c r="C102" s="5">
        <v>26.99</v>
      </c>
      <c r="D102" s="4">
        <f t="shared" si="38"/>
        <v>0</v>
      </c>
      <c r="E102" s="15">
        <f>D102*C102</f>
        <v>0</v>
      </c>
      <c r="F102" s="12"/>
      <c r="G102" s="12"/>
      <c r="H102" s="12"/>
      <c r="I102" s="12"/>
      <c r="J102" s="12">
        <v>0</v>
      </c>
      <c r="K102" s="4">
        <f t="shared" si="40"/>
        <v>0</v>
      </c>
      <c r="L102" s="4">
        <v>0</v>
      </c>
      <c r="M102" s="4">
        <v>0</v>
      </c>
    </row>
    <row r="103" spans="1:13" x14ac:dyDescent="0.25">
      <c r="A103" t="s">
        <v>58</v>
      </c>
      <c r="E103" s="3">
        <f>SUM(E3:E102)</f>
        <v>367.88499999999993</v>
      </c>
      <c r="F103" s="20"/>
      <c r="G103" s="20"/>
      <c r="H103" s="20"/>
      <c r="I103" s="20"/>
    </row>
    <row r="104" spans="1:13" x14ac:dyDescent="0.25">
      <c r="K104" s="2"/>
      <c r="L104" s="2">
        <f>SUMPRODUCT($C$3:$C$102,L3:L102)</f>
        <v>25.87875</v>
      </c>
    </row>
    <row r="105" spans="1:13" x14ac:dyDescent="0.25">
      <c r="F105" s="2">
        <f>SUMPRODUCT($C$3:$C$102,F3:F102)/$F$2</f>
        <v>96.830276666666691</v>
      </c>
      <c r="G105" s="2">
        <f>SUMPRODUCT($C$3:$C$102,G3:G102)/$F$2</f>
        <v>97.728276666666702</v>
      </c>
      <c r="H105" s="2">
        <f>SUMPRODUCT($C$3:$C$102,H3:H102)/$F$2</f>
        <v>103.50966666666669</v>
      </c>
      <c r="I105" s="2">
        <f>SUMPRODUCT($C$3:$C$102,I3:I102)/$F$2</f>
        <v>100.14966666666668</v>
      </c>
      <c r="J105" t="s">
        <v>70</v>
      </c>
    </row>
    <row r="107" spans="1:13" x14ac:dyDescent="0.25">
      <c r="A107" s="27"/>
      <c r="B107" s="29"/>
      <c r="C107" s="28"/>
      <c r="D107" s="27"/>
      <c r="E107" s="30"/>
      <c r="F107" s="27"/>
      <c r="G107" s="27"/>
      <c r="H107" s="27"/>
      <c r="I107" s="27"/>
      <c r="J107" s="27"/>
      <c r="K107" s="27"/>
      <c r="L107" s="27"/>
      <c r="M107" s="27"/>
    </row>
    <row r="108" spans="1:13" x14ac:dyDescent="0.25">
      <c r="A108" s="27"/>
      <c r="B108" s="29"/>
      <c r="C108" s="28"/>
      <c r="D108" s="27"/>
      <c r="E108" s="30"/>
      <c r="F108" s="27"/>
      <c r="G108" s="27"/>
      <c r="H108" s="27"/>
      <c r="I108" s="27"/>
      <c r="J108" s="27"/>
      <c r="K108" s="27"/>
      <c r="L108" s="27"/>
      <c r="M108" s="27"/>
    </row>
    <row r="109" spans="1:13" x14ac:dyDescent="0.25">
      <c r="A109" s="17"/>
      <c r="B109" s="29"/>
      <c r="C109" s="28"/>
      <c r="D109" s="27"/>
      <c r="E109" s="30"/>
      <c r="F109" s="27"/>
      <c r="G109" s="27"/>
      <c r="H109" s="27"/>
      <c r="I109" s="27"/>
      <c r="J109" s="27"/>
      <c r="K109" s="27"/>
      <c r="L109" s="27"/>
      <c r="M109" s="27"/>
    </row>
    <row r="110" spans="1:13" x14ac:dyDescent="0.25">
      <c r="A110" s="17" t="s">
        <v>315</v>
      </c>
      <c r="B110" s="29"/>
      <c r="C110" s="28"/>
      <c r="D110" s="27"/>
      <c r="E110" s="30"/>
      <c r="F110" s="27"/>
      <c r="G110" s="27"/>
      <c r="H110" s="27"/>
      <c r="I110" s="27"/>
      <c r="J110" s="27"/>
      <c r="K110" s="27"/>
      <c r="L110" s="27"/>
      <c r="M110" s="27"/>
    </row>
    <row r="111" spans="1:13" x14ac:dyDescent="0.25">
      <c r="A111" s="4" t="s">
        <v>87</v>
      </c>
      <c r="B111" s="6" t="s">
        <v>36</v>
      </c>
      <c r="C111" s="5">
        <v>0.24</v>
      </c>
      <c r="D111" s="4">
        <f t="shared" ref="D111:D125" si="55">IF(M111&gt;=(K111-L111),0,J111)</f>
        <v>0</v>
      </c>
      <c r="E111" s="15">
        <f t="shared" ref="E111:E118" si="56">D111*C111</f>
        <v>0</v>
      </c>
      <c r="F111" s="12">
        <f t="shared" ref="F111:I125" si="57">ROUNDUP($F$2*0,0)</f>
        <v>0</v>
      </c>
      <c r="G111" s="12">
        <f t="shared" si="57"/>
        <v>0</v>
      </c>
      <c r="H111" s="12">
        <f t="shared" si="57"/>
        <v>0</v>
      </c>
      <c r="I111" s="12">
        <f t="shared" si="57"/>
        <v>0</v>
      </c>
      <c r="J111" s="12">
        <v>0</v>
      </c>
      <c r="K111" s="4">
        <f t="shared" ref="K111:K125" si="58">L111+J111</f>
        <v>0</v>
      </c>
      <c r="L111" s="4">
        <v>0</v>
      </c>
      <c r="M111" s="4">
        <v>0</v>
      </c>
    </row>
    <row r="112" spans="1:13" x14ac:dyDescent="0.25">
      <c r="A112" s="4" t="s">
        <v>21</v>
      </c>
      <c r="B112" s="6" t="s">
        <v>36</v>
      </c>
      <c r="C112" s="5">
        <v>0.51</v>
      </c>
      <c r="D112" s="4">
        <f t="shared" si="55"/>
        <v>0</v>
      </c>
      <c r="E112" s="15">
        <f t="shared" si="56"/>
        <v>0</v>
      </c>
      <c r="F112" s="12">
        <f t="shared" si="57"/>
        <v>0</v>
      </c>
      <c r="G112" s="12">
        <f t="shared" si="57"/>
        <v>0</v>
      </c>
      <c r="H112" s="12">
        <f t="shared" si="57"/>
        <v>0</v>
      </c>
      <c r="I112" s="12">
        <f t="shared" si="57"/>
        <v>0</v>
      </c>
      <c r="J112" s="12">
        <v>0</v>
      </c>
      <c r="K112" s="4">
        <f t="shared" si="58"/>
        <v>0</v>
      </c>
      <c r="L112" s="4">
        <v>0</v>
      </c>
      <c r="M112" s="4">
        <v>0</v>
      </c>
    </row>
    <row r="113" spans="1:14" x14ac:dyDescent="0.25">
      <c r="A113" s="4" t="s">
        <v>22</v>
      </c>
      <c r="B113" s="6" t="s">
        <v>38</v>
      </c>
      <c r="C113" s="5">
        <v>11.95</v>
      </c>
      <c r="D113" s="4">
        <f t="shared" si="55"/>
        <v>0</v>
      </c>
      <c r="E113" s="15">
        <f t="shared" si="56"/>
        <v>0</v>
      </c>
      <c r="F113" s="12">
        <f t="shared" si="57"/>
        <v>0</v>
      </c>
      <c r="G113" s="12">
        <f t="shared" si="57"/>
        <v>0</v>
      </c>
      <c r="H113" s="12">
        <f t="shared" si="57"/>
        <v>0</v>
      </c>
      <c r="I113" s="12">
        <f t="shared" si="57"/>
        <v>0</v>
      </c>
      <c r="J113" s="12">
        <v>0</v>
      </c>
      <c r="K113" s="4">
        <f t="shared" si="58"/>
        <v>0</v>
      </c>
      <c r="L113" s="4">
        <v>0</v>
      </c>
      <c r="M113" s="4">
        <v>0</v>
      </c>
    </row>
    <row r="114" spans="1:14" x14ac:dyDescent="0.25">
      <c r="A114" s="4" t="s">
        <v>23</v>
      </c>
      <c r="B114" s="6" t="s">
        <v>39</v>
      </c>
      <c r="C114" s="5">
        <v>0.85</v>
      </c>
      <c r="D114" s="4">
        <f t="shared" si="55"/>
        <v>0</v>
      </c>
      <c r="E114" s="15">
        <f t="shared" si="56"/>
        <v>0</v>
      </c>
      <c r="F114" s="12">
        <f t="shared" si="57"/>
        <v>0</v>
      </c>
      <c r="G114" s="12">
        <f t="shared" si="57"/>
        <v>0</v>
      </c>
      <c r="H114" s="12">
        <f t="shared" si="57"/>
        <v>0</v>
      </c>
      <c r="I114" s="12">
        <f t="shared" si="57"/>
        <v>0</v>
      </c>
      <c r="J114" s="12">
        <v>0</v>
      </c>
      <c r="K114" s="4">
        <f t="shared" si="58"/>
        <v>2</v>
      </c>
      <c r="L114" s="4">
        <v>2</v>
      </c>
      <c r="M114" s="4">
        <v>0</v>
      </c>
    </row>
    <row r="115" spans="1:14" x14ac:dyDescent="0.25">
      <c r="A115" s="4" t="s">
        <v>24</v>
      </c>
      <c r="B115" s="6" t="s">
        <v>39</v>
      </c>
      <c r="C115" s="5">
        <v>4.95</v>
      </c>
      <c r="D115" s="4">
        <f t="shared" si="55"/>
        <v>0</v>
      </c>
      <c r="E115" s="15">
        <f t="shared" si="56"/>
        <v>0</v>
      </c>
      <c r="F115" s="12">
        <f t="shared" si="57"/>
        <v>0</v>
      </c>
      <c r="G115" s="12">
        <f t="shared" si="57"/>
        <v>0</v>
      </c>
      <c r="H115" s="12">
        <f t="shared" si="57"/>
        <v>0</v>
      </c>
      <c r="I115" s="12">
        <f t="shared" si="57"/>
        <v>0</v>
      </c>
      <c r="J115" s="12">
        <v>0</v>
      </c>
      <c r="K115" s="4">
        <f t="shared" si="58"/>
        <v>2</v>
      </c>
      <c r="L115" s="4">
        <v>2</v>
      </c>
      <c r="M115" s="4">
        <v>0</v>
      </c>
    </row>
    <row r="116" spans="1:14" x14ac:dyDescent="0.25">
      <c r="A116" s="4" t="s">
        <v>67</v>
      </c>
      <c r="B116" s="6" t="s">
        <v>38</v>
      </c>
      <c r="C116" s="5">
        <v>1.5</v>
      </c>
      <c r="D116" s="4">
        <f t="shared" si="55"/>
        <v>0</v>
      </c>
      <c r="E116" s="15">
        <f t="shared" si="56"/>
        <v>0</v>
      </c>
      <c r="F116" s="12">
        <f t="shared" si="57"/>
        <v>0</v>
      </c>
      <c r="G116" s="12">
        <f t="shared" si="57"/>
        <v>0</v>
      </c>
      <c r="H116" s="12">
        <f t="shared" si="57"/>
        <v>0</v>
      </c>
      <c r="I116" s="12">
        <f t="shared" si="57"/>
        <v>0</v>
      </c>
      <c r="J116" s="12">
        <v>0</v>
      </c>
      <c r="K116" s="4">
        <f t="shared" si="58"/>
        <v>0</v>
      </c>
      <c r="L116" s="4">
        <v>0</v>
      </c>
      <c r="M116" s="4">
        <v>0</v>
      </c>
    </row>
    <row r="117" spans="1:14" x14ac:dyDescent="0.25">
      <c r="A117" s="4" t="s">
        <v>77</v>
      </c>
      <c r="B117" s="6" t="s">
        <v>72</v>
      </c>
      <c r="C117" s="5">
        <v>1.95</v>
      </c>
      <c r="D117" s="4">
        <f t="shared" si="55"/>
        <v>0</v>
      </c>
      <c r="E117" s="15">
        <f t="shared" si="56"/>
        <v>0</v>
      </c>
      <c r="F117" s="12">
        <f t="shared" si="57"/>
        <v>0</v>
      </c>
      <c r="G117" s="12">
        <f t="shared" si="57"/>
        <v>0</v>
      </c>
      <c r="H117" s="12">
        <f t="shared" si="57"/>
        <v>0</v>
      </c>
      <c r="I117" s="12">
        <f t="shared" si="57"/>
        <v>0</v>
      </c>
      <c r="J117" s="12">
        <v>0</v>
      </c>
      <c r="K117" s="4">
        <f t="shared" si="58"/>
        <v>3</v>
      </c>
      <c r="L117" s="4">
        <v>3</v>
      </c>
      <c r="M117" s="4">
        <v>0</v>
      </c>
    </row>
    <row r="118" spans="1:14" x14ac:dyDescent="0.25">
      <c r="A118" s="4" t="s">
        <v>78</v>
      </c>
      <c r="B118" s="6" t="s">
        <v>72</v>
      </c>
      <c r="C118" s="5">
        <v>4.95</v>
      </c>
      <c r="D118" s="4">
        <f t="shared" si="55"/>
        <v>0</v>
      </c>
      <c r="E118" s="15">
        <f t="shared" si="56"/>
        <v>0</v>
      </c>
      <c r="F118" s="12">
        <f t="shared" si="57"/>
        <v>0</v>
      </c>
      <c r="G118" s="12">
        <f t="shared" si="57"/>
        <v>0</v>
      </c>
      <c r="H118" s="12">
        <f t="shared" si="57"/>
        <v>0</v>
      </c>
      <c r="I118" s="12">
        <f t="shared" si="57"/>
        <v>0</v>
      </c>
      <c r="J118" s="12">
        <v>0</v>
      </c>
      <c r="K118" s="4">
        <f t="shared" si="58"/>
        <v>0</v>
      </c>
      <c r="L118" s="4">
        <v>0</v>
      </c>
      <c r="M118" s="4">
        <v>0</v>
      </c>
    </row>
    <row r="119" spans="1:14" x14ac:dyDescent="0.25">
      <c r="A119" s="4" t="s">
        <v>81</v>
      </c>
      <c r="B119" s="6" t="s">
        <v>40</v>
      </c>
      <c r="C119" s="5">
        <v>7.62</v>
      </c>
      <c r="D119" s="4">
        <f t="shared" si="55"/>
        <v>0</v>
      </c>
      <c r="E119" s="15">
        <f t="shared" ref="E119" si="59">D119*C119</f>
        <v>0</v>
      </c>
      <c r="F119" s="12">
        <f t="shared" si="57"/>
        <v>0</v>
      </c>
      <c r="G119" s="12">
        <f t="shared" si="57"/>
        <v>0</v>
      </c>
      <c r="H119" s="12">
        <f t="shared" si="57"/>
        <v>0</v>
      </c>
      <c r="I119" s="12">
        <f t="shared" si="57"/>
        <v>0</v>
      </c>
      <c r="J119" s="12">
        <v>0</v>
      </c>
      <c r="K119" s="4">
        <f t="shared" si="58"/>
        <v>0</v>
      </c>
      <c r="L119" s="4">
        <v>0</v>
      </c>
      <c r="M119" s="4">
        <v>0</v>
      </c>
    </row>
    <row r="120" spans="1:14" x14ac:dyDescent="0.25">
      <c r="A120" s="4" t="s">
        <v>101</v>
      </c>
      <c r="B120" s="6" t="s">
        <v>40</v>
      </c>
      <c r="C120" s="5">
        <v>12.863</v>
      </c>
      <c r="D120" s="4">
        <f t="shared" si="55"/>
        <v>0</v>
      </c>
      <c r="E120" s="15">
        <f t="shared" ref="E120" si="60">D120*C120</f>
        <v>0</v>
      </c>
      <c r="F120" s="12">
        <f t="shared" si="57"/>
        <v>0</v>
      </c>
      <c r="G120" s="12">
        <f t="shared" si="57"/>
        <v>0</v>
      </c>
      <c r="H120" s="12">
        <f t="shared" si="57"/>
        <v>0</v>
      </c>
      <c r="I120" s="12">
        <f t="shared" si="57"/>
        <v>0</v>
      </c>
      <c r="J120" s="12">
        <v>0</v>
      </c>
      <c r="K120" s="4">
        <f t="shared" si="58"/>
        <v>0</v>
      </c>
      <c r="L120" s="4">
        <v>0</v>
      </c>
      <c r="M120" s="4">
        <v>0</v>
      </c>
    </row>
    <row r="121" spans="1:14" x14ac:dyDescent="0.25">
      <c r="A121" s="4" t="s">
        <v>69</v>
      </c>
      <c r="B121" s="6" t="s">
        <v>39</v>
      </c>
      <c r="C121" s="5">
        <v>4.95</v>
      </c>
      <c r="D121" s="4">
        <f t="shared" si="55"/>
        <v>0</v>
      </c>
      <c r="E121" s="15">
        <f>D121*C121</f>
        <v>0</v>
      </c>
      <c r="F121" s="12">
        <f t="shared" si="57"/>
        <v>0</v>
      </c>
      <c r="G121" s="12">
        <f t="shared" si="57"/>
        <v>0</v>
      </c>
      <c r="H121" s="12">
        <f t="shared" si="57"/>
        <v>0</v>
      </c>
      <c r="I121" s="12">
        <f t="shared" si="57"/>
        <v>0</v>
      </c>
      <c r="J121" s="12">
        <v>0</v>
      </c>
      <c r="K121" s="4">
        <f t="shared" si="58"/>
        <v>0</v>
      </c>
      <c r="L121" s="4">
        <v>0</v>
      </c>
      <c r="M121" s="4">
        <v>0</v>
      </c>
    </row>
    <row r="122" spans="1:14" x14ac:dyDescent="0.25">
      <c r="A122" s="4" t="s">
        <v>42</v>
      </c>
      <c r="B122" s="6" t="s">
        <v>36</v>
      </c>
      <c r="C122" s="5">
        <v>0.89</v>
      </c>
      <c r="D122" s="4">
        <f t="shared" si="55"/>
        <v>0</v>
      </c>
      <c r="E122" s="15">
        <f t="shared" ref="E122" si="61">D122*C122</f>
        <v>0</v>
      </c>
      <c r="F122" s="12">
        <f t="shared" si="57"/>
        <v>0</v>
      </c>
      <c r="G122" s="12">
        <f t="shared" si="57"/>
        <v>0</v>
      </c>
      <c r="H122" s="12">
        <f t="shared" si="57"/>
        <v>0</v>
      </c>
      <c r="I122" s="12">
        <f t="shared" si="57"/>
        <v>0</v>
      </c>
      <c r="J122" s="12">
        <v>0</v>
      </c>
      <c r="K122" s="4">
        <f t="shared" si="58"/>
        <v>0</v>
      </c>
      <c r="L122" s="4">
        <v>0</v>
      </c>
      <c r="M122" s="4">
        <v>0</v>
      </c>
    </row>
    <row r="123" spans="1:14" x14ac:dyDescent="0.25">
      <c r="A123" s="4" t="s">
        <v>17</v>
      </c>
      <c r="B123" s="6" t="s">
        <v>36</v>
      </c>
      <c r="C123" s="5">
        <v>0.1</v>
      </c>
      <c r="D123" s="4">
        <f t="shared" si="55"/>
        <v>0</v>
      </c>
      <c r="E123" s="15">
        <f>D123*C123</f>
        <v>0</v>
      </c>
      <c r="F123" s="12">
        <f t="shared" si="57"/>
        <v>0</v>
      </c>
      <c r="G123" s="12">
        <f t="shared" si="57"/>
        <v>0</v>
      </c>
      <c r="H123" s="12">
        <f t="shared" si="57"/>
        <v>0</v>
      </c>
      <c r="I123" s="12">
        <f t="shared" si="57"/>
        <v>0</v>
      </c>
      <c r="J123" s="12">
        <v>0</v>
      </c>
      <c r="K123" s="4">
        <f t="shared" si="58"/>
        <v>0</v>
      </c>
      <c r="L123" s="4">
        <v>0</v>
      </c>
      <c r="M123" s="4">
        <v>0</v>
      </c>
      <c r="N123" s="24"/>
    </row>
    <row r="124" spans="1:14" x14ac:dyDescent="0.25">
      <c r="A124" s="4" t="s">
        <v>16</v>
      </c>
      <c r="B124" s="6" t="s">
        <v>36</v>
      </c>
      <c r="C124" s="5">
        <v>0.1</v>
      </c>
      <c r="D124" s="4">
        <f t="shared" si="55"/>
        <v>0</v>
      </c>
      <c r="E124" s="15">
        <f>D124*C124</f>
        <v>0</v>
      </c>
      <c r="F124" s="12">
        <f t="shared" si="57"/>
        <v>0</v>
      </c>
      <c r="G124" s="12">
        <f t="shared" si="57"/>
        <v>0</v>
      </c>
      <c r="H124" s="12">
        <f t="shared" si="57"/>
        <v>0</v>
      </c>
      <c r="I124" s="12">
        <f t="shared" si="57"/>
        <v>0</v>
      </c>
      <c r="J124" s="12">
        <v>0</v>
      </c>
      <c r="K124" s="4">
        <f t="shared" si="58"/>
        <v>0</v>
      </c>
      <c r="L124" s="4">
        <v>0</v>
      </c>
      <c r="M124" s="4">
        <v>0</v>
      </c>
    </row>
    <row r="125" spans="1:14" x14ac:dyDescent="0.25">
      <c r="A125" s="4" t="s">
        <v>310</v>
      </c>
      <c r="B125" s="6" t="s">
        <v>36</v>
      </c>
      <c r="C125" s="5">
        <v>1.4</v>
      </c>
      <c r="D125" s="4">
        <f t="shared" si="55"/>
        <v>0</v>
      </c>
      <c r="E125" s="15">
        <f>D125*C125</f>
        <v>0</v>
      </c>
      <c r="F125" s="12">
        <f t="shared" si="57"/>
        <v>0</v>
      </c>
      <c r="G125" s="12">
        <f t="shared" si="57"/>
        <v>0</v>
      </c>
      <c r="H125" s="12">
        <f t="shared" si="57"/>
        <v>0</v>
      </c>
      <c r="I125" s="12">
        <f t="shared" si="57"/>
        <v>0</v>
      </c>
      <c r="J125" s="12">
        <v>0</v>
      </c>
      <c r="K125" s="4">
        <f t="shared" si="58"/>
        <v>0</v>
      </c>
      <c r="L125" s="4">
        <v>0</v>
      </c>
      <c r="M125" s="4">
        <v>0</v>
      </c>
      <c r="N125" s="24"/>
    </row>
    <row r="132" spans="5:11" x14ac:dyDescent="0.25">
      <c r="K132">
        <f>3.3-1.8</f>
        <v>1.4999999999999998</v>
      </c>
    </row>
    <row r="133" spans="5:11" x14ac:dyDescent="0.25">
      <c r="E133">
        <f>58.8/2</f>
        <v>29.4</v>
      </c>
      <c r="K133">
        <f>K132/680</f>
        <v>2.205882352941176E-3</v>
      </c>
    </row>
    <row r="134" spans="5:11" x14ac:dyDescent="0.25">
      <c r="E134">
        <f>E133-21</f>
        <v>8.3999999999999986</v>
      </c>
      <c r="K134">
        <f>(5-1.8)/K133</f>
        <v>1450.666666666667</v>
      </c>
    </row>
    <row r="135" spans="5:11" x14ac:dyDescent="0.25">
      <c r="E135">
        <f>52.44/2</f>
        <v>26.22</v>
      </c>
    </row>
    <row r="136" spans="5:11" x14ac:dyDescent="0.25">
      <c r="E136">
        <f>E133-E135</f>
        <v>3.1799999999999997</v>
      </c>
      <c r="K136">
        <f>3.2/1000</f>
        <v>3.2000000000000002E-3</v>
      </c>
    </row>
    <row r="138" spans="5:11" x14ac:dyDescent="0.25">
      <c r="E138">
        <f>21-35.3/2</f>
        <v>3.3500000000000014</v>
      </c>
    </row>
    <row r="141" spans="5:11" x14ac:dyDescent="0.25">
      <c r="F141">
        <v>86.9</v>
      </c>
    </row>
    <row r="142" spans="5:11" x14ac:dyDescent="0.25">
      <c r="F142">
        <v>58.8</v>
      </c>
    </row>
  </sheetData>
  <autoFilter ref="A2:O121"/>
  <sortState ref="A18:K25">
    <sortCondition ref="A18"/>
  </sortState>
  <hyperlinks>
    <hyperlink ref="N7" r:id="rId1"/>
    <hyperlink ref="B8" r:id="rId2"/>
    <hyperlink ref="B7" r:id="rId3"/>
    <hyperlink ref="B9" r:id="rId4"/>
    <hyperlink ref="B112" r:id="rId5"/>
    <hyperlink ref="B10" r:id="rId6"/>
    <hyperlink ref="B125" r:id="rId7"/>
    <hyperlink ref="B53" r:id="rId8"/>
    <hyperlink ref="B113" r:id="rId9"/>
    <hyperlink ref="B123" r:id="rId10"/>
    <hyperlink ref="B124" r:id="rId11"/>
    <hyperlink ref="B31" r:id="rId12"/>
    <hyperlink ref="B32" r:id="rId13"/>
    <hyperlink ref="B33" r:id="rId14"/>
    <hyperlink ref="B15" r:id="rId15"/>
    <hyperlink ref="B16" r:id="rId16"/>
    <hyperlink ref="B17" r:id="rId17"/>
    <hyperlink ref="B18" r:id="rId18"/>
    <hyperlink ref="B19" r:id="rId19"/>
    <hyperlink ref="B20" r:id="rId20"/>
    <hyperlink ref="B89" r:id="rId21"/>
    <hyperlink ref="B88" r:id="rId22"/>
    <hyperlink ref="B12" r:id="rId23"/>
    <hyperlink ref="B114" r:id="rId24"/>
    <hyperlink ref="B122" r:id="rId25"/>
    <hyperlink ref="B97" r:id="rId26"/>
    <hyperlink ref="B98" r:id="rId27"/>
    <hyperlink ref="B100" r:id="rId28"/>
    <hyperlink ref="B102" r:id="rId29"/>
    <hyperlink ref="B66" r:id="rId30"/>
    <hyperlink ref="B29" r:id="rId31"/>
    <hyperlink ref="B22" r:id="rId32"/>
    <hyperlink ref="B23" r:id="rId33"/>
    <hyperlink ref="B26" r:id="rId34"/>
    <hyperlink ref="B27" r:id="rId35"/>
    <hyperlink ref="B24" r:id="rId36"/>
    <hyperlink ref="B67" r:id="rId37"/>
    <hyperlink ref="B73" r:id="rId38"/>
    <hyperlink ref="B116" r:id="rId39"/>
    <hyperlink ref="B13" r:id="rId40"/>
    <hyperlink ref="B121" r:id="rId41"/>
    <hyperlink ref="B74" r:id="rId42"/>
    <hyperlink ref="B117" r:id="rId43"/>
    <hyperlink ref="B3" r:id="rId44"/>
    <hyperlink ref="B4" r:id="rId45"/>
    <hyperlink ref="B58" r:id="rId46"/>
    <hyperlink ref="B60" r:id="rId47"/>
    <hyperlink ref="B52" r:id="rId48"/>
    <hyperlink ref="B118" r:id="rId49"/>
    <hyperlink ref="B54" r:id="rId50"/>
    <hyperlink ref="B59" r:id="rId51"/>
    <hyperlink ref="B119" r:id="rId52"/>
    <hyperlink ref="B99" r:id="rId53"/>
    <hyperlink ref="B101" r:id="rId54"/>
    <hyperlink ref="B25" r:id="rId55"/>
    <hyperlink ref="B45" r:id="rId56"/>
    <hyperlink ref="B111" r:id="rId57"/>
    <hyperlink ref="B48" r:id="rId58"/>
    <hyperlink ref="B49" r:id="rId59"/>
    <hyperlink ref="B92" r:id="rId60"/>
    <hyperlink ref="B90" r:id="rId61"/>
    <hyperlink ref="B93" r:id="rId62"/>
    <hyperlink ref="B94" r:id="rId63"/>
    <hyperlink ref="B43" r:id="rId64"/>
    <hyperlink ref="B39" r:id="rId65"/>
    <hyperlink ref="B35" r:id="rId66"/>
    <hyperlink ref="B37" r:id="rId67"/>
    <hyperlink ref="B38" r:id="rId68"/>
    <hyperlink ref="B40" r:id="rId69"/>
    <hyperlink ref="B42" r:id="rId70"/>
    <hyperlink ref="B75" r:id="rId71"/>
    <hyperlink ref="B64" r:id="rId72"/>
    <hyperlink ref="B120" r:id="rId73"/>
    <hyperlink ref="B115" r:id="rId74"/>
    <hyperlink ref="B95" r:id="rId75"/>
    <hyperlink ref="B91" r:id="rId76"/>
    <hyperlink ref="B79" r:id="rId77"/>
    <hyperlink ref="B80" r:id="rId78"/>
    <hyperlink ref="B81" r:id="rId79"/>
    <hyperlink ref="B50" r:id="rId80"/>
    <hyperlink ref="B96" r:id="rId81"/>
    <hyperlink ref="B62" r:id="rId82"/>
    <hyperlink ref="B56" r:id="rId83"/>
    <hyperlink ref="B68" r:id="rId84"/>
    <hyperlink ref="B69" r:id="rId85"/>
    <hyperlink ref="B70" r:id="rId86"/>
    <hyperlink ref="B46" r:id="rId87"/>
    <hyperlink ref="B41" r:id="rId88"/>
    <hyperlink ref="B5" r:id="rId89"/>
    <hyperlink ref="B71" r:id="rId90"/>
    <hyperlink ref="B36" r:id="rId91"/>
    <hyperlink ref="B82" r:id="rId92"/>
    <hyperlink ref="B83" r:id="rId93"/>
    <hyperlink ref="B84" r:id="rId94"/>
    <hyperlink ref="B85" r:id="rId95"/>
    <hyperlink ref="B87" r:id="rId96"/>
    <hyperlink ref="B86" r:id="rId97"/>
  </hyperlinks>
  <pageMargins left="0.7" right="0.7" top="0.75" bottom="0.75" header="0.3" footer="0.3"/>
  <pageSetup orientation="portrait" r:id="rId98"/>
  <legacyDrawing r:id="rId9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56"/>
  <sheetViews>
    <sheetView tabSelected="1" workbookViewId="0">
      <pane ySplit="2" topLeftCell="A42" activePane="bottomLeft" state="frozen"/>
      <selection pane="bottomLeft" activeCell="L63" sqref="L63"/>
    </sheetView>
  </sheetViews>
  <sheetFormatPr defaultRowHeight="15" x14ac:dyDescent="0.25"/>
  <cols>
    <col min="1" max="1" width="32.7109375" bestFit="1" customWidth="1"/>
    <col min="2" max="2" width="16.42578125" bestFit="1" customWidth="1"/>
    <col min="3" max="3" width="10.5703125" style="2" bestFit="1" customWidth="1"/>
    <col min="4" max="4" width="9.85546875" bestFit="1" customWidth="1"/>
    <col min="5" max="5" width="9.85546875" customWidth="1"/>
    <col min="6" max="6" width="7.42578125" bestFit="1" customWidth="1"/>
    <col min="7" max="7" width="9" bestFit="1" customWidth="1"/>
    <col min="8" max="8" width="8" customWidth="1"/>
    <col min="9" max="9" width="9" bestFit="1" customWidth="1"/>
    <col min="10" max="10" width="10.140625" customWidth="1"/>
    <col min="11" max="11" width="14.28515625" customWidth="1"/>
    <col min="12" max="12" width="9.140625" customWidth="1"/>
    <col min="13" max="13" width="15.28515625" customWidth="1"/>
    <col min="14" max="14" width="11.85546875" customWidth="1"/>
    <col min="15" max="15" width="9" customWidth="1"/>
  </cols>
  <sheetData>
    <row r="1" spans="1:14" ht="15.75" thickBot="1" x14ac:dyDescent="0.3">
      <c r="C1" s="2" t="s">
        <v>102</v>
      </c>
      <c r="D1" s="31">
        <v>6</v>
      </c>
      <c r="E1" t="s">
        <v>102</v>
      </c>
      <c r="F1" s="55" t="s">
        <v>341</v>
      </c>
      <c r="G1" s="55"/>
      <c r="H1" s="56" t="s">
        <v>378</v>
      </c>
      <c r="I1" s="55"/>
    </row>
    <row r="2" spans="1:14" s="22" customFormat="1" ht="15.75" thickBot="1" x14ac:dyDescent="0.3">
      <c r="A2" s="10" t="s">
        <v>0</v>
      </c>
      <c r="B2" s="10" t="s">
        <v>8</v>
      </c>
      <c r="C2" s="11" t="s">
        <v>4</v>
      </c>
      <c r="D2" s="10" t="s">
        <v>3</v>
      </c>
      <c r="E2" s="21" t="s">
        <v>41</v>
      </c>
      <c r="F2" s="22" t="s">
        <v>339</v>
      </c>
      <c r="G2" s="22" t="s">
        <v>340</v>
      </c>
      <c r="J2" s="13" t="s">
        <v>128</v>
      </c>
      <c r="K2" s="10" t="s">
        <v>30</v>
      </c>
      <c r="L2" s="10" t="s">
        <v>1</v>
      </c>
      <c r="M2" s="10" t="s">
        <v>2</v>
      </c>
      <c r="N2" s="22" t="s">
        <v>34</v>
      </c>
    </row>
    <row r="3" spans="1:14" s="27" customFormat="1" x14ac:dyDescent="0.25">
      <c r="A3" s="38" t="s">
        <v>358</v>
      </c>
      <c r="B3" s="6" t="s">
        <v>31</v>
      </c>
      <c r="C3" s="39">
        <f>28.2/3</f>
        <v>9.4</v>
      </c>
      <c r="D3" s="4">
        <f t="shared" ref="D3:D20" si="0">IF(M3&gt;=(K3-L3),0,J3)</f>
        <v>0</v>
      </c>
      <c r="E3" s="15">
        <f>D3*C3</f>
        <v>0</v>
      </c>
      <c r="F3" s="12">
        <v>1</v>
      </c>
      <c r="G3" s="12">
        <f t="shared" ref="G3:G15" si="1">ROUNDUP($D$1*F3,0)</f>
        <v>6</v>
      </c>
      <c r="H3" s="12">
        <v>0</v>
      </c>
      <c r="I3" s="12">
        <f t="shared" ref="I3:I15" si="2">ROUNDUP($D$1*H3,0)</f>
        <v>0</v>
      </c>
      <c r="J3" s="12">
        <v>0</v>
      </c>
      <c r="K3" s="4">
        <f t="shared" ref="K3:K20" si="3">L3+J3</f>
        <v>0</v>
      </c>
      <c r="L3" s="4">
        <v>0</v>
      </c>
      <c r="M3" s="4">
        <v>0</v>
      </c>
    </row>
    <row r="4" spans="1:14" s="27" customFormat="1" x14ac:dyDescent="0.25">
      <c r="A4" s="4" t="s">
        <v>379</v>
      </c>
      <c r="B4" s="6" t="s">
        <v>31</v>
      </c>
      <c r="C4" s="5">
        <f>28.2/3</f>
        <v>9.4</v>
      </c>
      <c r="D4" s="4">
        <f t="shared" ref="D4" si="4">IF(M4&gt;=(K4-L4),0,J4)</f>
        <v>0</v>
      </c>
      <c r="E4" s="50">
        <f>D4*C4</f>
        <v>0</v>
      </c>
      <c r="F4" s="4">
        <v>0</v>
      </c>
      <c r="G4" s="4">
        <f t="shared" ref="G4" si="5">ROUNDUP($D$1*F4,0)</f>
        <v>0</v>
      </c>
      <c r="H4" s="4">
        <v>0</v>
      </c>
      <c r="I4" s="12">
        <f t="shared" si="2"/>
        <v>0</v>
      </c>
      <c r="J4" s="4">
        <v>0</v>
      </c>
      <c r="K4" s="4">
        <f t="shared" ref="K4" si="6">L4+J4</f>
        <v>0</v>
      </c>
      <c r="L4" s="4">
        <v>0</v>
      </c>
      <c r="M4" s="4">
        <v>0</v>
      </c>
    </row>
    <row r="5" spans="1:14" s="27" customFormat="1" x14ac:dyDescent="0.25">
      <c r="A5" s="4" t="s">
        <v>380</v>
      </c>
      <c r="B5" s="6" t="s">
        <v>31</v>
      </c>
      <c r="C5" s="5">
        <f>56.4/3</f>
        <v>18.8</v>
      </c>
      <c r="D5" s="4">
        <f t="shared" ref="D5" si="7">IF(M5&gt;=(K5-L5),0,J5)</f>
        <v>0</v>
      </c>
      <c r="E5" s="50">
        <f>D5*C5</f>
        <v>0</v>
      </c>
      <c r="F5" s="4">
        <v>0</v>
      </c>
      <c r="G5" s="4">
        <f t="shared" ref="G5" si="8">ROUNDUP($D$1*F5,0)</f>
        <v>0</v>
      </c>
      <c r="H5" s="4">
        <v>1</v>
      </c>
      <c r="I5" s="4">
        <f t="shared" ref="I5" si="9">ROUNDUP($D$1*H5,0)</f>
        <v>6</v>
      </c>
      <c r="J5" s="4">
        <v>0</v>
      </c>
      <c r="K5" s="4">
        <f t="shared" ref="K5" si="10">L5+J5</f>
        <v>0</v>
      </c>
      <c r="L5" s="4">
        <v>0</v>
      </c>
      <c r="M5" s="4">
        <v>0</v>
      </c>
    </row>
    <row r="6" spans="1:14" s="27" customFormat="1" x14ac:dyDescent="0.25">
      <c r="A6" s="4" t="s">
        <v>361</v>
      </c>
      <c r="B6" s="6" t="s">
        <v>40</v>
      </c>
      <c r="C6" s="5">
        <v>36.99</v>
      </c>
      <c r="D6" s="4">
        <f t="shared" ref="D6:D15" si="11">IF(M6&gt;=(K6-L6),0,J6)</f>
        <v>0</v>
      </c>
      <c r="E6" s="50">
        <f t="shared" ref="E6:E15" si="12">D6*C6</f>
        <v>0</v>
      </c>
      <c r="F6" s="4">
        <v>1</v>
      </c>
      <c r="G6" s="4">
        <f t="shared" si="1"/>
        <v>6</v>
      </c>
      <c r="H6" s="4">
        <v>1</v>
      </c>
      <c r="I6" s="4">
        <f t="shared" si="2"/>
        <v>6</v>
      </c>
      <c r="J6" s="4">
        <v>0</v>
      </c>
      <c r="K6" s="4">
        <f t="shared" ref="K6:K10" si="13">L6+J6</f>
        <v>0</v>
      </c>
      <c r="L6" s="4">
        <v>0</v>
      </c>
      <c r="M6" s="4">
        <v>0</v>
      </c>
    </row>
    <row r="7" spans="1:14" s="27" customFormat="1" x14ac:dyDescent="0.25">
      <c r="B7" s="29"/>
      <c r="C7" s="28"/>
      <c r="E7" s="30"/>
    </row>
    <row r="8" spans="1:14" s="27" customFormat="1" x14ac:dyDescent="0.25">
      <c r="A8" s="4" t="s">
        <v>376</v>
      </c>
      <c r="B8" s="6" t="s">
        <v>375</v>
      </c>
      <c r="C8" s="5">
        <v>1.62</v>
      </c>
      <c r="D8" s="4">
        <f t="shared" ref="D8:D10" si="14">IF(M8&gt;=(K8-L8),0,J8)</f>
        <v>0</v>
      </c>
      <c r="E8" s="50">
        <f t="shared" ref="E8:E10" si="15">D8*C8</f>
        <v>0</v>
      </c>
      <c r="F8" s="4">
        <f>4/100</f>
        <v>0.04</v>
      </c>
      <c r="G8" s="4">
        <f t="shared" ref="G8:G10" si="16">ROUNDUP($D$1*F8,0)</f>
        <v>1</v>
      </c>
      <c r="H8" s="4">
        <f>4/100</f>
        <v>0.04</v>
      </c>
      <c r="I8" s="4">
        <f t="shared" ref="I8:I10" si="17">ROUNDUP($D$1*H8,0)</f>
        <v>1</v>
      </c>
      <c r="J8" s="4">
        <v>0</v>
      </c>
      <c r="K8" s="4">
        <f t="shared" si="13"/>
        <v>0.61</v>
      </c>
      <c r="L8" s="4">
        <f>61/100</f>
        <v>0.61</v>
      </c>
      <c r="M8" s="4">
        <v>0</v>
      </c>
    </row>
    <row r="9" spans="1:14" s="27" customFormat="1" x14ac:dyDescent="0.25">
      <c r="A9" s="4" t="s">
        <v>377</v>
      </c>
      <c r="B9" s="6" t="s">
        <v>375</v>
      </c>
      <c r="C9" s="5">
        <v>2.36</v>
      </c>
      <c r="D9" s="4">
        <f t="shared" si="14"/>
        <v>0</v>
      </c>
      <c r="E9" s="50">
        <f t="shared" si="15"/>
        <v>0</v>
      </c>
      <c r="F9" s="4">
        <f>2/100</f>
        <v>0.02</v>
      </c>
      <c r="G9" s="4">
        <f t="shared" si="16"/>
        <v>1</v>
      </c>
      <c r="H9" s="4">
        <f>2/100</f>
        <v>0.02</v>
      </c>
      <c r="I9" s="4">
        <f t="shared" si="17"/>
        <v>1</v>
      </c>
      <c r="J9" s="4">
        <v>0</v>
      </c>
      <c r="K9" s="4">
        <f t="shared" si="13"/>
        <v>0.82</v>
      </c>
      <c r="L9" s="4">
        <f>82/100</f>
        <v>0.82</v>
      </c>
      <c r="M9" s="4">
        <v>0</v>
      </c>
    </row>
    <row r="10" spans="1:14" s="27" customFormat="1" x14ac:dyDescent="0.25">
      <c r="A10" s="4" t="s">
        <v>374</v>
      </c>
      <c r="B10" s="6" t="s">
        <v>375</v>
      </c>
      <c r="C10" s="5">
        <v>0.68</v>
      </c>
      <c r="D10" s="4">
        <f t="shared" si="14"/>
        <v>0</v>
      </c>
      <c r="E10" s="50">
        <f t="shared" si="15"/>
        <v>0</v>
      </c>
      <c r="F10" s="4">
        <v>4</v>
      </c>
      <c r="G10" s="4">
        <f t="shared" si="16"/>
        <v>24</v>
      </c>
      <c r="H10" s="4">
        <v>4</v>
      </c>
      <c r="I10" s="4">
        <f t="shared" si="17"/>
        <v>24</v>
      </c>
      <c r="J10" s="4">
        <v>0</v>
      </c>
      <c r="K10" s="4">
        <f t="shared" si="13"/>
        <v>0</v>
      </c>
      <c r="L10" s="4">
        <v>0</v>
      </c>
      <c r="M10" s="4">
        <v>0</v>
      </c>
    </row>
    <row r="11" spans="1:14" s="27" customFormat="1" x14ac:dyDescent="0.25">
      <c r="A11" s="4" t="s">
        <v>362</v>
      </c>
      <c r="B11" s="6" t="s">
        <v>36</v>
      </c>
      <c r="C11" s="5">
        <v>0.53</v>
      </c>
      <c r="D11" s="4">
        <f t="shared" si="11"/>
        <v>0</v>
      </c>
      <c r="E11" s="50">
        <f t="shared" si="12"/>
        <v>0</v>
      </c>
      <c r="F11" s="4">
        <v>0</v>
      </c>
      <c r="G11" s="4">
        <f t="shared" si="1"/>
        <v>0</v>
      </c>
      <c r="H11" s="4">
        <v>0</v>
      </c>
      <c r="I11" s="4">
        <f t="shared" si="2"/>
        <v>0</v>
      </c>
      <c r="J11" s="4">
        <v>0</v>
      </c>
      <c r="K11" s="4">
        <f t="shared" ref="K11" si="18">L11+J11</f>
        <v>0</v>
      </c>
      <c r="L11" s="4">
        <v>0</v>
      </c>
      <c r="M11" s="4">
        <v>0</v>
      </c>
    </row>
    <row r="12" spans="1:14" s="27" customFormat="1" x14ac:dyDescent="0.25">
      <c r="A12" s="48" t="s">
        <v>363</v>
      </c>
      <c r="B12" s="46" t="s">
        <v>36</v>
      </c>
      <c r="C12" s="39">
        <v>0.38</v>
      </c>
      <c r="D12" s="4">
        <f t="shared" si="11"/>
        <v>0</v>
      </c>
      <c r="E12" s="15">
        <f t="shared" si="12"/>
        <v>0</v>
      </c>
      <c r="F12" s="12">
        <v>0</v>
      </c>
      <c r="G12" s="12">
        <f t="shared" si="1"/>
        <v>0</v>
      </c>
      <c r="H12" s="12">
        <v>0</v>
      </c>
      <c r="I12" s="12">
        <f t="shared" si="2"/>
        <v>0</v>
      </c>
      <c r="J12" s="12">
        <v>0</v>
      </c>
      <c r="K12" s="4">
        <f t="shared" ref="K12" si="19">L12+J12</f>
        <v>0</v>
      </c>
      <c r="L12" s="4">
        <v>0</v>
      </c>
      <c r="M12" s="4">
        <v>0</v>
      </c>
    </row>
    <row r="13" spans="1:14" s="27" customFormat="1" x14ac:dyDescent="0.25">
      <c r="A13" s="4" t="s">
        <v>365</v>
      </c>
      <c r="B13" s="6" t="s">
        <v>40</v>
      </c>
      <c r="C13" s="5">
        <v>7.33</v>
      </c>
      <c r="D13" s="4">
        <f t="shared" si="11"/>
        <v>0</v>
      </c>
      <c r="E13" s="15">
        <f t="shared" si="12"/>
        <v>0</v>
      </c>
      <c r="F13" s="12">
        <v>0</v>
      </c>
      <c r="G13" s="12">
        <f t="shared" si="1"/>
        <v>0</v>
      </c>
      <c r="H13" s="12">
        <v>0</v>
      </c>
      <c r="I13" s="12">
        <f t="shared" si="2"/>
        <v>0</v>
      </c>
      <c r="J13" s="12">
        <v>0</v>
      </c>
      <c r="K13" s="4">
        <f t="shared" ref="K13" si="20">L13+J13</f>
        <v>0</v>
      </c>
      <c r="L13" s="4">
        <v>0</v>
      </c>
      <c r="M13" s="4">
        <v>0</v>
      </c>
    </row>
    <row r="14" spans="1:14" s="27" customFormat="1" x14ac:dyDescent="0.25">
      <c r="A14" s="19" t="s">
        <v>364</v>
      </c>
      <c r="B14" s="6" t="s">
        <v>40</v>
      </c>
      <c r="C14" s="5">
        <v>4.6900000000000004</v>
      </c>
      <c r="D14" s="4">
        <f t="shared" si="11"/>
        <v>0</v>
      </c>
      <c r="E14" s="15">
        <f t="shared" si="12"/>
        <v>0</v>
      </c>
      <c r="F14" s="12">
        <v>0</v>
      </c>
      <c r="G14" s="12">
        <f t="shared" si="1"/>
        <v>0</v>
      </c>
      <c r="H14" s="12">
        <v>0</v>
      </c>
      <c r="I14" s="12">
        <f t="shared" si="2"/>
        <v>0</v>
      </c>
      <c r="J14" s="12">
        <v>0</v>
      </c>
      <c r="K14" s="4">
        <f t="shared" ref="K14" si="21">L14+J14</f>
        <v>0</v>
      </c>
      <c r="L14" s="4">
        <v>0</v>
      </c>
      <c r="M14" s="4">
        <v>0</v>
      </c>
    </row>
    <row r="15" spans="1:14" s="27" customFormat="1" x14ac:dyDescent="0.25">
      <c r="A15" s="19" t="s">
        <v>366</v>
      </c>
      <c r="B15" s="6" t="s">
        <v>36</v>
      </c>
      <c r="C15" s="28">
        <v>0.13700000000000001</v>
      </c>
      <c r="D15" s="4">
        <f t="shared" si="11"/>
        <v>0</v>
      </c>
      <c r="E15" s="15">
        <f t="shared" si="12"/>
        <v>0</v>
      </c>
      <c r="F15" s="12">
        <v>0</v>
      </c>
      <c r="G15" s="12">
        <f t="shared" si="1"/>
        <v>0</v>
      </c>
      <c r="H15" s="12">
        <v>0</v>
      </c>
      <c r="I15" s="12">
        <f t="shared" si="2"/>
        <v>0</v>
      </c>
      <c r="J15" s="12">
        <v>0</v>
      </c>
      <c r="K15" s="4">
        <f t="shared" ref="K15" si="22">L15+J15</f>
        <v>0</v>
      </c>
      <c r="L15" s="4">
        <v>0</v>
      </c>
      <c r="M15" s="4">
        <v>0</v>
      </c>
    </row>
    <row r="16" spans="1:14" s="27" customFormat="1" x14ac:dyDescent="0.25">
      <c r="A16" s="38" t="s">
        <v>337</v>
      </c>
      <c r="B16" s="46" t="s">
        <v>338</v>
      </c>
      <c r="C16" s="39">
        <v>14.62</v>
      </c>
      <c r="D16" s="4">
        <f t="shared" ref="D16" si="23">IF(M16&gt;=(K16-L16),0,J16)</f>
        <v>0</v>
      </c>
      <c r="E16" s="15">
        <f>D16*C16</f>
        <v>0</v>
      </c>
      <c r="F16" s="12">
        <v>1</v>
      </c>
      <c r="G16" s="12">
        <f>ROUNDUP($D$1*F16,0)</f>
        <v>6</v>
      </c>
      <c r="H16" s="12">
        <v>1</v>
      </c>
      <c r="I16" s="12">
        <f>ROUNDUP($D$1*H16,0)</f>
        <v>6</v>
      </c>
      <c r="J16" s="12">
        <v>0</v>
      </c>
      <c r="K16" s="4">
        <f t="shared" ref="K16" si="24">L16+J16</f>
        <v>0</v>
      </c>
      <c r="L16" s="4">
        <v>0</v>
      </c>
      <c r="M16" s="4">
        <v>0</v>
      </c>
    </row>
    <row r="17" spans="1:14" s="27" customFormat="1" x14ac:dyDescent="0.25">
      <c r="A17" s="38"/>
      <c r="B17" s="46"/>
      <c r="C17" s="39"/>
      <c r="D17" s="4"/>
      <c r="E17" s="15"/>
      <c r="F17" s="12"/>
      <c r="G17" s="12"/>
      <c r="H17" s="12"/>
      <c r="I17" s="12"/>
      <c r="J17" s="12"/>
      <c r="K17" s="4"/>
      <c r="L17" s="4"/>
      <c r="M17" s="4"/>
    </row>
    <row r="18" spans="1:14" s="27" customFormat="1" x14ac:dyDescent="0.25">
      <c r="A18" s="49"/>
      <c r="B18" s="46"/>
      <c r="C18" s="39"/>
      <c r="D18" s="4"/>
      <c r="E18" s="15"/>
      <c r="F18" s="12"/>
      <c r="G18" s="12"/>
      <c r="H18" s="12"/>
      <c r="I18" s="12"/>
      <c r="J18" s="12"/>
      <c r="K18" s="4"/>
      <c r="L18" s="4"/>
      <c r="M18" s="4"/>
    </row>
    <row r="19" spans="1:14" s="27" customFormat="1" x14ac:dyDescent="0.25">
      <c r="A19" s="38"/>
      <c r="B19" s="46"/>
      <c r="C19" s="39"/>
      <c r="D19" s="4"/>
      <c r="E19" s="15"/>
      <c r="F19" s="12"/>
      <c r="G19" s="12"/>
      <c r="H19" s="12"/>
      <c r="I19" s="12"/>
      <c r="J19" s="12"/>
      <c r="K19" s="4"/>
      <c r="L19" s="4"/>
      <c r="M19" s="4"/>
    </row>
    <row r="20" spans="1:14" s="27" customFormat="1" x14ac:dyDescent="0.25">
      <c r="A20" s="38" t="s">
        <v>336</v>
      </c>
      <c r="B20" s="46" t="s">
        <v>36</v>
      </c>
      <c r="C20" s="39">
        <v>0.41</v>
      </c>
      <c r="D20" s="4">
        <f t="shared" si="0"/>
        <v>0</v>
      </c>
      <c r="E20" s="15">
        <f>D20*C20</f>
        <v>0</v>
      </c>
      <c r="F20" s="12">
        <v>1</v>
      </c>
      <c r="G20" s="12">
        <f t="shared" ref="G20:G25" si="25">ROUNDUP($D$1*F20,0)</f>
        <v>6</v>
      </c>
      <c r="H20" s="12">
        <v>1</v>
      </c>
      <c r="I20" s="12">
        <f t="shared" ref="I20:I25" si="26">ROUNDUP($D$1*H20,0)</f>
        <v>6</v>
      </c>
      <c r="J20" s="12">
        <v>0</v>
      </c>
      <c r="K20" s="4">
        <f t="shared" si="3"/>
        <v>1</v>
      </c>
      <c r="L20" s="4">
        <v>1</v>
      </c>
      <c r="M20" s="4">
        <v>0</v>
      </c>
    </row>
    <row r="21" spans="1:14" s="27" customFormat="1" x14ac:dyDescent="0.25">
      <c r="A21" s="38" t="s">
        <v>333</v>
      </c>
      <c r="B21" s="46" t="s">
        <v>36</v>
      </c>
      <c r="C21" s="39">
        <v>0.42</v>
      </c>
      <c r="D21" s="4">
        <f t="shared" ref="D21" si="27">IF(M21&gt;=(K21-L21),0,J21)</f>
        <v>0</v>
      </c>
      <c r="E21" s="15">
        <f>D21*C21</f>
        <v>0</v>
      </c>
      <c r="F21" s="12">
        <v>1</v>
      </c>
      <c r="G21" s="12">
        <f t="shared" si="25"/>
        <v>6</v>
      </c>
      <c r="H21" s="12">
        <v>1</v>
      </c>
      <c r="I21" s="12">
        <f t="shared" si="26"/>
        <v>6</v>
      </c>
      <c r="J21" s="12">
        <v>0</v>
      </c>
      <c r="K21" s="4">
        <f t="shared" ref="K21" si="28">L21+J21</f>
        <v>1</v>
      </c>
      <c r="L21" s="4">
        <v>1</v>
      </c>
      <c r="M21" s="4">
        <v>0</v>
      </c>
    </row>
    <row r="22" spans="1:14" s="27" customFormat="1" x14ac:dyDescent="0.25">
      <c r="A22" s="38" t="s">
        <v>334</v>
      </c>
      <c r="B22" s="46" t="s">
        <v>36</v>
      </c>
      <c r="C22" s="39">
        <v>0.81</v>
      </c>
      <c r="D22" s="4">
        <f t="shared" ref="D22:D23" si="29">IF(M22&gt;=(K22-L22),0,J22)</f>
        <v>0</v>
      </c>
      <c r="E22" s="15">
        <f t="shared" ref="E22:E23" si="30">D22*C22</f>
        <v>0</v>
      </c>
      <c r="F22" s="12">
        <v>1</v>
      </c>
      <c r="G22" s="12">
        <f t="shared" si="25"/>
        <v>6</v>
      </c>
      <c r="H22" s="12">
        <v>1</v>
      </c>
      <c r="I22" s="12">
        <f t="shared" si="26"/>
        <v>6</v>
      </c>
      <c r="J22" s="12">
        <v>0</v>
      </c>
      <c r="K22" s="4">
        <f t="shared" ref="K22:K23" si="31">L22+J22</f>
        <v>1</v>
      </c>
      <c r="L22" s="4">
        <v>1</v>
      </c>
      <c r="M22" s="4">
        <v>0</v>
      </c>
    </row>
    <row r="23" spans="1:14" s="27" customFormat="1" x14ac:dyDescent="0.25">
      <c r="A23" s="38" t="s">
        <v>335</v>
      </c>
      <c r="B23" s="46" t="s">
        <v>36</v>
      </c>
      <c r="C23" s="39">
        <v>0.42</v>
      </c>
      <c r="D23" s="4">
        <f t="shared" si="29"/>
        <v>0</v>
      </c>
      <c r="E23" s="15">
        <f t="shared" si="30"/>
        <v>0</v>
      </c>
      <c r="F23" s="12">
        <v>1</v>
      </c>
      <c r="G23" s="12">
        <f t="shared" si="25"/>
        <v>6</v>
      </c>
      <c r="H23" s="12">
        <v>1</v>
      </c>
      <c r="I23" s="12">
        <f t="shared" si="26"/>
        <v>6</v>
      </c>
      <c r="J23" s="12">
        <v>0</v>
      </c>
      <c r="K23" s="4">
        <f t="shared" si="31"/>
        <v>1</v>
      </c>
      <c r="L23" s="4">
        <v>1</v>
      </c>
      <c r="M23" s="4">
        <v>0</v>
      </c>
    </row>
    <row r="24" spans="1:14" s="27" customFormat="1" x14ac:dyDescent="0.25">
      <c r="A24" s="49" t="s">
        <v>354</v>
      </c>
      <c r="B24" s="46" t="s">
        <v>39</v>
      </c>
      <c r="C24" s="39">
        <v>8.9499999999999993</v>
      </c>
      <c r="D24" s="4">
        <f t="shared" ref="D24" si="32">IF(M24&gt;=(K24-L24),0,J24)</f>
        <v>0</v>
      </c>
      <c r="E24" s="15">
        <f t="shared" ref="E24" si="33">D24*C24</f>
        <v>0</v>
      </c>
      <c r="F24" s="12">
        <v>1</v>
      </c>
      <c r="G24" s="12">
        <f t="shared" si="25"/>
        <v>6</v>
      </c>
      <c r="H24" s="12">
        <v>0</v>
      </c>
      <c r="I24" s="12">
        <f t="shared" si="26"/>
        <v>0</v>
      </c>
      <c r="J24" s="12">
        <v>0</v>
      </c>
      <c r="K24" s="4">
        <f t="shared" ref="K24" si="34">L24+J24</f>
        <v>0</v>
      </c>
      <c r="L24" s="4">
        <v>0</v>
      </c>
      <c r="M24" s="4">
        <v>0</v>
      </c>
    </row>
    <row r="25" spans="1:14" s="27" customFormat="1" x14ac:dyDescent="0.25">
      <c r="A25" s="48" t="s">
        <v>355</v>
      </c>
      <c r="B25" s="46" t="s">
        <v>36</v>
      </c>
      <c r="C25" s="39">
        <v>6.28</v>
      </c>
      <c r="D25" s="4">
        <f t="shared" ref="D25" si="35">IF(M25&gt;=(K25-L25),0,J25)</f>
        <v>0</v>
      </c>
      <c r="E25" s="15">
        <f t="shared" ref="E25" si="36">D25*C25</f>
        <v>0</v>
      </c>
      <c r="F25" s="12">
        <v>0</v>
      </c>
      <c r="G25" s="12">
        <f t="shared" si="25"/>
        <v>0</v>
      </c>
      <c r="H25" s="12">
        <v>0</v>
      </c>
      <c r="I25" s="12">
        <f t="shared" si="26"/>
        <v>0</v>
      </c>
      <c r="J25" s="12">
        <v>0</v>
      </c>
      <c r="K25" s="4">
        <f t="shared" ref="K25" si="37">L25+J25</f>
        <v>0</v>
      </c>
      <c r="L25" s="4">
        <v>0</v>
      </c>
      <c r="M25" s="4">
        <v>0</v>
      </c>
    </row>
    <row r="26" spans="1:14" s="27" customFormat="1" x14ac:dyDescent="0.25">
      <c r="A26" s="48" t="s">
        <v>360</v>
      </c>
      <c r="B26" s="46" t="s">
        <v>36</v>
      </c>
      <c r="C26" s="39">
        <v>3.26</v>
      </c>
      <c r="D26" s="4">
        <f t="shared" ref="D26" si="38">IF(M26&gt;=(K26-L26),0,J26)</f>
        <v>0</v>
      </c>
      <c r="E26" s="15">
        <f t="shared" ref="E26" si="39">D26*C26</f>
        <v>0</v>
      </c>
      <c r="F26" s="12">
        <v>0</v>
      </c>
      <c r="G26" s="12">
        <f t="shared" ref="G26" si="40">ROUNDUP($D$1*F26,0)</f>
        <v>0</v>
      </c>
      <c r="H26" s="12">
        <v>1</v>
      </c>
      <c r="I26" s="12">
        <f t="shared" ref="I26" si="41">ROUNDUP($D$1*H26,0)</f>
        <v>6</v>
      </c>
      <c r="J26" s="12">
        <v>0</v>
      </c>
      <c r="K26" s="4">
        <f t="shared" ref="K26" si="42">L26+J26</f>
        <v>0</v>
      </c>
      <c r="L26" s="4">
        <v>0</v>
      </c>
      <c r="M26" s="4">
        <v>0</v>
      </c>
    </row>
    <row r="27" spans="1:14" s="27" customFormat="1" x14ac:dyDescent="0.25">
      <c r="A27" s="38"/>
      <c r="B27" s="38"/>
      <c r="C27" s="39"/>
      <c r="D27" s="38"/>
      <c r="E27" s="40"/>
      <c r="F27" s="43"/>
      <c r="G27" s="41"/>
      <c r="H27" s="43"/>
      <c r="I27" s="41"/>
      <c r="J27" s="42"/>
      <c r="K27" s="38"/>
      <c r="L27" s="38"/>
      <c r="M27" s="38"/>
    </row>
    <row r="28" spans="1:14" x14ac:dyDescent="0.25">
      <c r="A28" s="19" t="s">
        <v>345</v>
      </c>
      <c r="B28" s="6" t="s">
        <v>36</v>
      </c>
      <c r="C28" s="5">
        <v>1.4999999999999999E-2</v>
      </c>
      <c r="D28" s="4">
        <f t="shared" ref="D28:D35" si="43">IF(M28&gt;=(K28-L28),0,J28)</f>
        <v>0</v>
      </c>
      <c r="E28" s="15">
        <f>D28*C28</f>
        <v>0</v>
      </c>
      <c r="F28" s="12">
        <v>1</v>
      </c>
      <c r="G28" s="12">
        <f t="shared" ref="G28:G36" si="44">ROUNDUP($D$1*F28,0)</f>
        <v>6</v>
      </c>
      <c r="H28" s="12">
        <v>1</v>
      </c>
      <c r="I28" s="12">
        <f t="shared" ref="I28:I36" si="45">ROUNDUP($D$1*H28,0)</f>
        <v>6</v>
      </c>
      <c r="J28" s="12">
        <v>0</v>
      </c>
      <c r="K28" s="4">
        <f t="shared" ref="K28:K35" si="46">L28+J28</f>
        <v>11</v>
      </c>
      <c r="L28" s="4">
        <v>11</v>
      </c>
      <c r="M28" s="4">
        <v>0</v>
      </c>
    </row>
    <row r="29" spans="1:14" x14ac:dyDescent="0.25">
      <c r="A29" s="19" t="s">
        <v>346</v>
      </c>
      <c r="B29" s="6" t="s">
        <v>36</v>
      </c>
      <c r="C29" s="5">
        <v>1.4999999999999999E-2</v>
      </c>
      <c r="D29" s="4">
        <f t="shared" si="43"/>
        <v>0</v>
      </c>
      <c r="E29" s="15">
        <f>D29*C29</f>
        <v>0</v>
      </c>
      <c r="F29" s="12">
        <v>1</v>
      </c>
      <c r="G29" s="12">
        <f t="shared" si="44"/>
        <v>6</v>
      </c>
      <c r="H29" s="12">
        <v>1</v>
      </c>
      <c r="I29" s="12">
        <f t="shared" si="45"/>
        <v>6</v>
      </c>
      <c r="J29" s="12">
        <v>0</v>
      </c>
      <c r="K29" s="4">
        <f t="shared" si="46"/>
        <v>9</v>
      </c>
      <c r="L29" s="4">
        <v>9</v>
      </c>
      <c r="M29" s="4">
        <v>0</v>
      </c>
    </row>
    <row r="30" spans="1:14" x14ac:dyDescent="0.25">
      <c r="A30" s="19" t="s">
        <v>347</v>
      </c>
      <c r="B30" s="6" t="s">
        <v>36</v>
      </c>
      <c r="C30" s="5">
        <v>1.4999999999999999E-2</v>
      </c>
      <c r="D30" s="4">
        <f t="shared" si="43"/>
        <v>0</v>
      </c>
      <c r="E30" s="15">
        <f>D30*C30</f>
        <v>0</v>
      </c>
      <c r="F30" s="12">
        <v>0</v>
      </c>
      <c r="G30" s="12">
        <f t="shared" si="44"/>
        <v>0</v>
      </c>
      <c r="H30" s="12">
        <v>0</v>
      </c>
      <c r="I30" s="12">
        <f t="shared" si="45"/>
        <v>0</v>
      </c>
      <c r="J30" s="12">
        <v>0</v>
      </c>
      <c r="K30" s="4">
        <f t="shared" si="46"/>
        <v>10</v>
      </c>
      <c r="L30" s="4">
        <v>10</v>
      </c>
      <c r="M30" s="4">
        <v>0</v>
      </c>
    </row>
    <row r="31" spans="1:14" x14ac:dyDescent="0.25">
      <c r="A31" s="19" t="s">
        <v>348</v>
      </c>
      <c r="B31" s="6" t="s">
        <v>36</v>
      </c>
      <c r="C31" s="5">
        <v>1.4999999999999999E-2</v>
      </c>
      <c r="D31" s="4">
        <f t="shared" si="43"/>
        <v>0</v>
      </c>
      <c r="E31" s="15">
        <f>D31*C31</f>
        <v>0</v>
      </c>
      <c r="F31" s="12">
        <v>3</v>
      </c>
      <c r="G31" s="12">
        <f t="shared" si="44"/>
        <v>18</v>
      </c>
      <c r="H31" s="12">
        <v>3</v>
      </c>
      <c r="I31" s="12">
        <f t="shared" si="45"/>
        <v>18</v>
      </c>
      <c r="J31" s="12">
        <v>0</v>
      </c>
      <c r="K31" s="4">
        <f t="shared" si="46"/>
        <v>4</v>
      </c>
      <c r="L31" s="4">
        <v>4</v>
      </c>
      <c r="M31" s="4">
        <v>0</v>
      </c>
      <c r="N31" s="24"/>
    </row>
    <row r="32" spans="1:14" x14ac:dyDescent="0.25">
      <c r="A32" s="19" t="s">
        <v>349</v>
      </c>
      <c r="B32" s="6" t="s">
        <v>36</v>
      </c>
      <c r="C32" s="5">
        <v>1.4999999999999999E-2</v>
      </c>
      <c r="D32" s="4">
        <f t="shared" si="43"/>
        <v>0</v>
      </c>
      <c r="E32" s="15">
        <f t="shared" ref="E32" si="47">D32*C32</f>
        <v>0</v>
      </c>
      <c r="F32" s="12">
        <v>0</v>
      </c>
      <c r="G32" s="12">
        <f t="shared" si="44"/>
        <v>0</v>
      </c>
      <c r="H32" s="12">
        <v>0</v>
      </c>
      <c r="I32" s="12">
        <f t="shared" si="45"/>
        <v>0</v>
      </c>
      <c r="J32" s="12">
        <v>0</v>
      </c>
      <c r="K32" s="4">
        <f t="shared" si="46"/>
        <v>22</v>
      </c>
      <c r="L32" s="4">
        <v>22</v>
      </c>
      <c r="M32" s="4">
        <v>0</v>
      </c>
      <c r="N32" s="17"/>
    </row>
    <row r="33" spans="1:14" x14ac:dyDescent="0.25">
      <c r="A33" s="19" t="s">
        <v>350</v>
      </c>
      <c r="B33" s="6" t="s">
        <v>36</v>
      </c>
      <c r="C33" s="5">
        <v>1.4999999999999999E-2</v>
      </c>
      <c r="D33" s="4">
        <f t="shared" si="43"/>
        <v>0</v>
      </c>
      <c r="E33" s="15">
        <f>D33*C33</f>
        <v>0</v>
      </c>
      <c r="F33" s="12">
        <v>3</v>
      </c>
      <c r="G33" s="12">
        <f t="shared" si="44"/>
        <v>18</v>
      </c>
      <c r="H33" s="12">
        <v>3</v>
      </c>
      <c r="I33" s="12">
        <f t="shared" si="45"/>
        <v>18</v>
      </c>
      <c r="J33" s="12">
        <v>0</v>
      </c>
      <c r="K33" s="4">
        <f t="shared" si="46"/>
        <v>6</v>
      </c>
      <c r="L33" s="4">
        <v>6</v>
      </c>
      <c r="M33" s="4">
        <v>0</v>
      </c>
      <c r="N33" s="17"/>
    </row>
    <row r="34" spans="1:14" x14ac:dyDescent="0.25">
      <c r="A34" s="19" t="s">
        <v>351</v>
      </c>
      <c r="B34" s="6" t="s">
        <v>36</v>
      </c>
      <c r="C34" s="5">
        <v>1.4999999999999999E-2</v>
      </c>
      <c r="D34" s="4">
        <f t="shared" si="43"/>
        <v>0</v>
      </c>
      <c r="E34" s="15">
        <f>D34*C34</f>
        <v>0</v>
      </c>
      <c r="F34" s="12">
        <v>3</v>
      </c>
      <c r="G34" s="12">
        <f t="shared" si="44"/>
        <v>18</v>
      </c>
      <c r="H34" s="12">
        <v>3</v>
      </c>
      <c r="I34" s="12">
        <f t="shared" si="45"/>
        <v>18</v>
      </c>
      <c r="J34" s="12">
        <v>0</v>
      </c>
      <c r="K34" s="4">
        <f t="shared" si="46"/>
        <v>3</v>
      </c>
      <c r="L34" s="4">
        <v>3</v>
      </c>
      <c r="M34" s="4">
        <v>0</v>
      </c>
      <c r="N34" s="17"/>
    </row>
    <row r="35" spans="1:14" x14ac:dyDescent="0.25">
      <c r="A35" s="19" t="s">
        <v>352</v>
      </c>
      <c r="B35" s="6" t="s">
        <v>36</v>
      </c>
      <c r="C35" s="5">
        <v>1.4999999999999999E-2</v>
      </c>
      <c r="D35" s="4">
        <f t="shared" si="43"/>
        <v>0</v>
      </c>
      <c r="E35" s="15">
        <f t="shared" ref="E35" si="48">D35*C35</f>
        <v>0</v>
      </c>
      <c r="F35" s="12">
        <v>1</v>
      </c>
      <c r="G35" s="12">
        <f t="shared" si="44"/>
        <v>6</v>
      </c>
      <c r="H35" s="12">
        <v>1</v>
      </c>
      <c r="I35" s="12">
        <f t="shared" si="45"/>
        <v>6</v>
      </c>
      <c r="J35" s="12">
        <v>0</v>
      </c>
      <c r="K35" s="4">
        <f t="shared" si="46"/>
        <v>10</v>
      </c>
      <c r="L35" s="4">
        <v>10</v>
      </c>
      <c r="M35" s="4">
        <v>0</v>
      </c>
      <c r="N35" s="17"/>
    </row>
    <row r="36" spans="1:14" x14ac:dyDescent="0.25">
      <c r="A36" s="19" t="s">
        <v>353</v>
      </c>
      <c r="B36" s="6" t="s">
        <v>36</v>
      </c>
      <c r="C36" s="5">
        <v>1.4999999999999999E-2</v>
      </c>
      <c r="D36" s="4">
        <f t="shared" ref="D36" si="49">IF(M36&gt;=(K36-L36),0,J36)</f>
        <v>0</v>
      </c>
      <c r="E36" s="15">
        <f t="shared" ref="E36" si="50">D36*C36</f>
        <v>0</v>
      </c>
      <c r="F36" s="12">
        <v>1</v>
      </c>
      <c r="G36" s="12">
        <f t="shared" si="44"/>
        <v>6</v>
      </c>
      <c r="H36" s="12">
        <v>1</v>
      </c>
      <c r="I36" s="12">
        <f t="shared" si="45"/>
        <v>6</v>
      </c>
      <c r="J36" s="12">
        <v>0</v>
      </c>
      <c r="K36" s="4">
        <f t="shared" ref="K36" si="51">L36+J36</f>
        <v>1</v>
      </c>
      <c r="L36" s="4">
        <v>1</v>
      </c>
      <c r="M36" s="4">
        <v>0</v>
      </c>
      <c r="N36" s="17"/>
    </row>
    <row r="37" spans="1:14" x14ac:dyDescent="0.25">
      <c r="A37" s="47"/>
      <c r="N37" s="17"/>
    </row>
    <row r="38" spans="1:14" x14ac:dyDescent="0.25">
      <c r="A38" s="19" t="s">
        <v>342</v>
      </c>
      <c r="B38" s="6" t="s">
        <v>36</v>
      </c>
      <c r="C38" s="5">
        <v>0.12</v>
      </c>
      <c r="D38" s="4">
        <f>IF(M38&gt;=(K38-L38),0,J38)</f>
        <v>0</v>
      </c>
      <c r="E38" s="15">
        <f>D38*C38</f>
        <v>0</v>
      </c>
      <c r="F38" s="12">
        <v>1</v>
      </c>
      <c r="G38" s="12">
        <f>ROUNDUP($D$1*F38,0)</f>
        <v>6</v>
      </c>
      <c r="H38" s="12">
        <v>1</v>
      </c>
      <c r="I38" s="12">
        <f>ROUNDUP($D$1*H38,0)</f>
        <v>6</v>
      </c>
      <c r="J38" s="12">
        <v>0</v>
      </c>
      <c r="K38" s="4">
        <f>L38+J38</f>
        <v>7</v>
      </c>
      <c r="L38" s="4">
        <v>7</v>
      </c>
      <c r="M38" s="4">
        <v>0</v>
      </c>
      <c r="N38" s="17"/>
    </row>
    <row r="39" spans="1:14" x14ac:dyDescent="0.25">
      <c r="A39" s="19" t="s">
        <v>344</v>
      </c>
      <c r="B39" s="6" t="s">
        <v>36</v>
      </c>
      <c r="C39" s="5">
        <v>0.1</v>
      </c>
      <c r="D39" s="4">
        <f>IF(M39&gt;=(K39-L39),0,J39)</f>
        <v>0</v>
      </c>
      <c r="E39" s="15">
        <f>D39*C39</f>
        <v>0</v>
      </c>
      <c r="F39" s="12">
        <v>1</v>
      </c>
      <c r="G39" s="12">
        <f>ROUNDUP($D$1*F39,0)</f>
        <v>6</v>
      </c>
      <c r="H39" s="12">
        <v>1</v>
      </c>
      <c r="I39" s="12">
        <f>ROUNDUP($D$1*H39,0)</f>
        <v>6</v>
      </c>
      <c r="J39" s="12">
        <v>0</v>
      </c>
      <c r="K39" s="4">
        <f>L39+J39</f>
        <v>1</v>
      </c>
      <c r="L39" s="4">
        <v>1</v>
      </c>
      <c r="M39" s="4">
        <v>0</v>
      </c>
      <c r="N39" s="17"/>
    </row>
    <row r="40" spans="1:14" x14ac:dyDescent="0.25">
      <c r="A40" s="19" t="s">
        <v>343</v>
      </c>
      <c r="B40" s="6" t="s">
        <v>36</v>
      </c>
      <c r="C40" s="5">
        <v>0.52</v>
      </c>
      <c r="D40" s="4">
        <f>IF(M40&gt;=(K40-L40),0,J40)</f>
        <v>0</v>
      </c>
      <c r="E40" s="15">
        <f>D40*C40</f>
        <v>0</v>
      </c>
      <c r="F40" s="12">
        <v>1</v>
      </c>
      <c r="G40" s="12">
        <f>ROUNDUP($D$1*F40,0)</f>
        <v>6</v>
      </c>
      <c r="H40" s="12">
        <v>1</v>
      </c>
      <c r="I40" s="12">
        <f>ROUNDUP($D$1*H40,0)</f>
        <v>6</v>
      </c>
      <c r="J40" s="12">
        <v>0</v>
      </c>
      <c r="K40" s="4">
        <f>L40+J40</f>
        <v>2</v>
      </c>
      <c r="L40" s="4">
        <v>2</v>
      </c>
      <c r="M40" s="4">
        <v>0</v>
      </c>
      <c r="N40" s="17"/>
    </row>
    <row r="41" spans="1:14" x14ac:dyDescent="0.25">
      <c r="N41" s="17"/>
    </row>
    <row r="42" spans="1:14" x14ac:dyDescent="0.25">
      <c r="A42" s="19" t="s">
        <v>85</v>
      </c>
      <c r="B42" s="6" t="s">
        <v>36</v>
      </c>
      <c r="C42" s="5">
        <v>0.28999999999999998</v>
      </c>
      <c r="D42" s="4">
        <f>IF(M42&gt;=(K42-L42),0,J42)</f>
        <v>0</v>
      </c>
      <c r="E42" s="15">
        <f t="shared" ref="E42:E44" si="52">D42*C42</f>
        <v>0</v>
      </c>
      <c r="F42" s="12">
        <v>1</v>
      </c>
      <c r="G42" s="12">
        <f>ROUNDUP($D$1*F42,0)</f>
        <v>6</v>
      </c>
      <c r="H42" s="12">
        <v>1</v>
      </c>
      <c r="I42" s="12">
        <f>ROUNDUP($D$1*H42,0)</f>
        <v>6</v>
      </c>
      <c r="J42" s="12">
        <v>0</v>
      </c>
      <c r="K42" s="4">
        <f>L42+J42</f>
        <v>3</v>
      </c>
      <c r="L42" s="4">
        <v>3</v>
      </c>
      <c r="M42" s="4">
        <v>0</v>
      </c>
      <c r="N42" s="17"/>
    </row>
    <row r="43" spans="1:14" x14ac:dyDescent="0.25">
      <c r="A43" s="19" t="s">
        <v>86</v>
      </c>
      <c r="B43" s="6" t="s">
        <v>36</v>
      </c>
      <c r="C43" s="5">
        <v>0.28999999999999998</v>
      </c>
      <c r="D43" s="4">
        <f>IF(M43&gt;=(K43-L43),0,J43)</f>
        <v>0</v>
      </c>
      <c r="E43" s="15">
        <f t="shared" si="52"/>
        <v>0</v>
      </c>
      <c r="F43" s="12">
        <v>1</v>
      </c>
      <c r="G43" s="12">
        <f>ROUNDUP($D$1*F43,0)</f>
        <v>6</v>
      </c>
      <c r="H43" s="12">
        <v>1</v>
      </c>
      <c r="I43" s="12">
        <f>ROUNDUP($D$1*H43,0)</f>
        <v>6</v>
      </c>
      <c r="J43" s="12">
        <v>0</v>
      </c>
      <c r="K43" s="4">
        <f>L43+J43</f>
        <v>15</v>
      </c>
      <c r="L43" s="4">
        <v>15</v>
      </c>
      <c r="M43" s="4">
        <v>0</v>
      </c>
      <c r="N43" s="17"/>
    </row>
    <row r="44" spans="1:14" x14ac:dyDescent="0.25">
      <c r="A44" s="19" t="s">
        <v>107</v>
      </c>
      <c r="B44" s="6" t="s">
        <v>36</v>
      </c>
      <c r="C44" s="5">
        <v>0.28999999999999998</v>
      </c>
      <c r="D44" s="4">
        <f>IF(M44&gt;=(K44-L44),0,J44)</f>
        <v>0</v>
      </c>
      <c r="E44" s="15">
        <f t="shared" si="52"/>
        <v>0</v>
      </c>
      <c r="F44" s="12">
        <v>2</v>
      </c>
      <c r="G44" s="12">
        <f>ROUNDUP($D$1*F44,0)</f>
        <v>12</v>
      </c>
      <c r="H44" s="12">
        <v>2</v>
      </c>
      <c r="I44" s="12">
        <f>ROUNDUP($D$1*H44,0)</f>
        <v>12</v>
      </c>
      <c r="J44" s="12">
        <v>0</v>
      </c>
      <c r="K44" s="4">
        <f>L44+J44</f>
        <v>6</v>
      </c>
      <c r="L44" s="4">
        <v>6</v>
      </c>
      <c r="M44" s="4">
        <v>0</v>
      </c>
      <c r="N44" s="17"/>
    </row>
    <row r="46" spans="1:14" x14ac:dyDescent="0.25">
      <c r="A46" s="51" t="s">
        <v>356</v>
      </c>
      <c r="B46" s="6" t="s">
        <v>36</v>
      </c>
      <c r="C46" s="5">
        <v>0.6</v>
      </c>
      <c r="D46" s="4">
        <f t="shared" ref="D46:D52" si="53">IF(M46&gt;=(K46-L46),0,J46)</f>
        <v>0</v>
      </c>
      <c r="E46" s="15">
        <f t="shared" ref="E46:E47" si="54">D46*C46</f>
        <v>0</v>
      </c>
      <c r="F46" s="12">
        <v>0</v>
      </c>
      <c r="G46" s="12">
        <f t="shared" ref="G46:G52" si="55">ROUNDUP($D$1*F46,0)</f>
        <v>0</v>
      </c>
      <c r="H46" s="12">
        <v>0</v>
      </c>
      <c r="I46" s="12">
        <f t="shared" ref="I46:I52" si="56">ROUNDUP($D$1*H46,0)</f>
        <v>0</v>
      </c>
      <c r="J46" s="12">
        <v>0</v>
      </c>
      <c r="K46" s="4">
        <f t="shared" ref="K46:K52" si="57">L46+J46</f>
        <v>0</v>
      </c>
      <c r="L46" s="4">
        <v>0</v>
      </c>
      <c r="M46" s="4">
        <v>0</v>
      </c>
    </row>
    <row r="47" spans="1:14" x14ac:dyDescent="0.25">
      <c r="A47" s="51" t="s">
        <v>357</v>
      </c>
      <c r="B47" s="6" t="s">
        <v>36</v>
      </c>
      <c r="C47" s="5">
        <v>1.02</v>
      </c>
      <c r="D47" s="4">
        <f t="shared" si="53"/>
        <v>0</v>
      </c>
      <c r="E47" s="15">
        <f t="shared" si="54"/>
        <v>0</v>
      </c>
      <c r="F47" s="12">
        <v>0</v>
      </c>
      <c r="G47" s="12">
        <f t="shared" si="55"/>
        <v>0</v>
      </c>
      <c r="H47" s="12">
        <v>0</v>
      </c>
      <c r="I47" s="12">
        <f t="shared" si="56"/>
        <v>0</v>
      </c>
      <c r="J47" s="12">
        <v>0</v>
      </c>
      <c r="K47" s="4">
        <f t="shared" si="57"/>
        <v>0</v>
      </c>
      <c r="L47" s="4">
        <v>0</v>
      </c>
      <c r="M47" s="4">
        <v>0</v>
      </c>
    </row>
    <row r="48" spans="1:14" x14ac:dyDescent="0.25">
      <c r="A48" s="49" t="s">
        <v>359</v>
      </c>
      <c r="B48" s="46" t="s">
        <v>36</v>
      </c>
      <c r="C48" s="39">
        <v>2.29</v>
      </c>
      <c r="D48" s="4">
        <f>IF(M48&gt;=(K48-L48),0,J48)</f>
        <v>0</v>
      </c>
      <c r="E48" s="15">
        <f>D48*C48</f>
        <v>0</v>
      </c>
      <c r="F48" s="12">
        <v>1</v>
      </c>
      <c r="G48" s="12">
        <f>ROUNDUP($D$1*F48,0)</f>
        <v>6</v>
      </c>
      <c r="H48" s="12">
        <v>1</v>
      </c>
      <c r="I48" s="12">
        <f>ROUNDUP($D$1*H48,0)</f>
        <v>6</v>
      </c>
      <c r="J48" s="12">
        <v>0</v>
      </c>
      <c r="K48" s="4">
        <f>L48+J48</f>
        <v>0</v>
      </c>
      <c r="L48" s="4">
        <v>0</v>
      </c>
      <c r="M48" s="4">
        <v>0</v>
      </c>
    </row>
    <row r="49" spans="1:13" x14ac:dyDescent="0.25">
      <c r="A49" s="19" t="s">
        <v>370</v>
      </c>
      <c r="B49" s="6" t="s">
        <v>36</v>
      </c>
      <c r="C49" s="5">
        <v>1.03</v>
      </c>
      <c r="D49" s="4">
        <f t="shared" si="53"/>
        <v>0</v>
      </c>
      <c r="E49" s="15">
        <f>D49*C49</f>
        <v>0</v>
      </c>
      <c r="F49" s="12">
        <v>2</v>
      </c>
      <c r="G49" s="12">
        <f t="shared" si="55"/>
        <v>12</v>
      </c>
      <c r="H49" s="12">
        <v>1</v>
      </c>
      <c r="I49" s="12">
        <f t="shared" si="56"/>
        <v>6</v>
      </c>
      <c r="J49" s="12">
        <v>0</v>
      </c>
      <c r="K49" s="4">
        <f t="shared" si="57"/>
        <v>2</v>
      </c>
      <c r="L49" s="4">
        <v>2</v>
      </c>
      <c r="M49" s="4">
        <v>0</v>
      </c>
    </row>
    <row r="50" spans="1:13" x14ac:dyDescent="0.25">
      <c r="A50" s="4" t="s">
        <v>371</v>
      </c>
      <c r="B50" s="6" t="s">
        <v>36</v>
      </c>
      <c r="C50" s="5">
        <v>2.77</v>
      </c>
      <c r="D50" s="4">
        <f t="shared" si="53"/>
        <v>0</v>
      </c>
      <c r="E50" s="15">
        <f>D50*C50</f>
        <v>0</v>
      </c>
      <c r="F50" s="12">
        <v>2</v>
      </c>
      <c r="G50" s="12">
        <f t="shared" si="55"/>
        <v>12</v>
      </c>
      <c r="H50" s="12">
        <v>1</v>
      </c>
      <c r="I50" s="12">
        <f t="shared" si="56"/>
        <v>6</v>
      </c>
      <c r="J50" s="12">
        <v>0</v>
      </c>
      <c r="K50" s="4">
        <f t="shared" si="57"/>
        <v>6</v>
      </c>
      <c r="L50" s="4">
        <v>6</v>
      </c>
      <c r="M50" s="4">
        <v>0</v>
      </c>
    </row>
    <row r="51" spans="1:13" x14ac:dyDescent="0.25">
      <c r="A51" s="19" t="s">
        <v>372</v>
      </c>
      <c r="B51" s="6" t="s">
        <v>36</v>
      </c>
      <c r="C51" s="5">
        <v>3.08</v>
      </c>
      <c r="D51" s="4">
        <f t="shared" si="53"/>
        <v>0</v>
      </c>
      <c r="E51" s="15">
        <f>D51*C51</f>
        <v>0</v>
      </c>
      <c r="F51" s="12">
        <v>0</v>
      </c>
      <c r="G51" s="12">
        <f t="shared" si="55"/>
        <v>0</v>
      </c>
      <c r="H51" s="12">
        <v>1</v>
      </c>
      <c r="I51" s="12">
        <f t="shared" si="56"/>
        <v>6</v>
      </c>
      <c r="J51" s="12">
        <v>0</v>
      </c>
      <c r="K51" s="4">
        <f t="shared" si="57"/>
        <v>4</v>
      </c>
      <c r="L51" s="4">
        <v>4</v>
      </c>
      <c r="M51" s="4">
        <v>0</v>
      </c>
    </row>
    <row r="52" spans="1:13" x14ac:dyDescent="0.25">
      <c r="A52" s="4" t="s">
        <v>373</v>
      </c>
      <c r="B52" s="6" t="s">
        <v>36</v>
      </c>
      <c r="C52" s="5">
        <v>4.28</v>
      </c>
      <c r="D52" s="4">
        <f t="shared" si="53"/>
        <v>0</v>
      </c>
      <c r="E52" s="15">
        <f>D52*C52</f>
        <v>0</v>
      </c>
      <c r="F52" s="12">
        <v>0</v>
      </c>
      <c r="G52" s="12">
        <f t="shared" si="55"/>
        <v>0</v>
      </c>
      <c r="H52" s="12">
        <v>1</v>
      </c>
      <c r="I52" s="12">
        <f t="shared" si="56"/>
        <v>6</v>
      </c>
      <c r="J52" s="12">
        <v>0</v>
      </c>
      <c r="K52" s="4">
        <f t="shared" si="57"/>
        <v>3</v>
      </c>
      <c r="L52" s="4">
        <v>3</v>
      </c>
      <c r="M52" s="4">
        <v>0</v>
      </c>
    </row>
    <row r="53" spans="1:13" x14ac:dyDescent="0.25">
      <c r="A53" s="27"/>
      <c r="B53" s="29"/>
      <c r="C53" s="28"/>
      <c r="D53" s="27"/>
      <c r="E53" s="30"/>
      <c r="F53" s="30"/>
      <c r="G53" s="27"/>
      <c r="H53" s="27"/>
      <c r="I53" s="27"/>
      <c r="J53" s="27"/>
      <c r="K53" s="27"/>
      <c r="L53" s="27"/>
      <c r="M53" s="27"/>
    </row>
    <row r="54" spans="1:13" x14ac:dyDescent="0.25">
      <c r="A54" s="4" t="s">
        <v>100</v>
      </c>
      <c r="B54" s="6" t="s">
        <v>40</v>
      </c>
      <c r="C54" s="5">
        <v>9.99</v>
      </c>
      <c r="D54" s="4">
        <f>IF(M54&gt;=(K54-L54),0,J54)</f>
        <v>0</v>
      </c>
      <c r="E54" s="15">
        <f>D54*C54</f>
        <v>0</v>
      </c>
      <c r="F54" s="12">
        <v>1</v>
      </c>
      <c r="G54" s="12">
        <f>ROUNDUP($D$1*F54,0)</f>
        <v>6</v>
      </c>
      <c r="H54" s="12">
        <v>1</v>
      </c>
      <c r="I54" s="12">
        <f>ROUNDUP($D$1*H54,0)</f>
        <v>6</v>
      </c>
      <c r="J54" s="12">
        <v>0</v>
      </c>
      <c r="K54" s="4">
        <f>L54+J54</f>
        <v>7</v>
      </c>
      <c r="L54" s="4">
        <v>7</v>
      </c>
      <c r="M54" s="4">
        <v>0</v>
      </c>
    </row>
    <row r="55" spans="1:13" x14ac:dyDescent="0.25">
      <c r="A55" s="27"/>
      <c r="B55" s="29"/>
      <c r="C55" s="28"/>
      <c r="D55" s="27"/>
      <c r="E55" s="30"/>
      <c r="F55" s="30"/>
      <c r="G55" s="27"/>
      <c r="H55" s="30"/>
      <c r="I55" s="27"/>
      <c r="J55" s="27"/>
      <c r="K55" s="27"/>
      <c r="L55" s="27"/>
      <c r="M55" s="27"/>
    </row>
    <row r="56" spans="1:13" x14ac:dyDescent="0.25">
      <c r="A56" s="4" t="s">
        <v>369</v>
      </c>
      <c r="B56" s="6" t="s">
        <v>36</v>
      </c>
      <c r="C56" s="5">
        <v>4.57</v>
      </c>
      <c r="D56" s="4">
        <f>IF(M56&gt;=(K56-L56),0,J56)</f>
        <v>0</v>
      </c>
      <c r="E56" s="50">
        <f t="shared" ref="E56" si="58">D56*C56</f>
        <v>0</v>
      </c>
      <c r="F56" s="4">
        <v>1</v>
      </c>
      <c r="G56" s="4">
        <f t="shared" ref="G56" si="59">ROUNDUP($D$1*F56,0)</f>
        <v>6</v>
      </c>
      <c r="H56" s="4">
        <v>1</v>
      </c>
      <c r="I56" s="4">
        <f t="shared" ref="I56" si="60">ROUNDUP($D$1*H56,0)</f>
        <v>6</v>
      </c>
      <c r="J56" s="4">
        <v>0</v>
      </c>
      <c r="K56" s="4">
        <f>L56+J56</f>
        <v>1</v>
      </c>
      <c r="L56" s="4">
        <v>1</v>
      </c>
      <c r="M56" s="4">
        <v>0</v>
      </c>
    </row>
    <row r="57" spans="1:13" x14ac:dyDescent="0.25">
      <c r="A57" s="19" t="s">
        <v>46</v>
      </c>
      <c r="B57" s="1" t="s">
        <v>36</v>
      </c>
      <c r="C57" s="5">
        <v>0.22</v>
      </c>
      <c r="D57" s="4">
        <f>IF(M57&gt;=(K57-L57),0,J57)</f>
        <v>100</v>
      </c>
      <c r="E57" s="50">
        <f t="shared" ref="E57:E60" si="61">D57*C57</f>
        <v>22</v>
      </c>
      <c r="F57" s="4">
        <v>3</v>
      </c>
      <c r="G57" s="4">
        <f t="shared" ref="G57:I60" si="62">ROUNDUP($D$1*F57,0)</f>
        <v>18</v>
      </c>
      <c r="H57" s="4">
        <v>3</v>
      </c>
      <c r="I57" s="4">
        <f t="shared" si="62"/>
        <v>18</v>
      </c>
      <c r="J57" s="4">
        <v>100</v>
      </c>
      <c r="K57" s="4">
        <f>L57+J57</f>
        <v>100</v>
      </c>
      <c r="L57" s="4">
        <v>0</v>
      </c>
      <c r="M57" s="4">
        <v>0</v>
      </c>
    </row>
    <row r="58" spans="1:13" x14ac:dyDescent="0.25">
      <c r="A58" s="17"/>
      <c r="B58" s="29"/>
      <c r="C58" s="28"/>
      <c r="D58" s="27"/>
      <c r="E58" s="30"/>
      <c r="F58" s="27"/>
      <c r="G58" s="27"/>
      <c r="H58" s="27"/>
      <c r="I58" s="27"/>
      <c r="J58" s="27"/>
      <c r="K58" s="27"/>
      <c r="L58" s="27"/>
      <c r="M58" s="27"/>
    </row>
    <row r="59" spans="1:13" x14ac:dyDescent="0.25">
      <c r="A59" s="19" t="s">
        <v>319</v>
      </c>
      <c r="B59" s="6" t="s">
        <v>36</v>
      </c>
      <c r="C59" s="5">
        <v>0.97</v>
      </c>
      <c r="D59" s="4">
        <f t="shared" ref="D59:D60" si="63">IF(M59&gt;=(K59-L59),0,J59)</f>
        <v>0</v>
      </c>
      <c r="E59" s="50">
        <f t="shared" si="61"/>
        <v>0</v>
      </c>
      <c r="F59" s="4">
        <v>0</v>
      </c>
      <c r="G59" s="4">
        <f t="shared" si="62"/>
        <v>0</v>
      </c>
      <c r="H59" s="4">
        <v>0</v>
      </c>
      <c r="I59" s="4">
        <f t="shared" si="62"/>
        <v>0</v>
      </c>
      <c r="J59" s="4">
        <v>0</v>
      </c>
      <c r="K59" s="4">
        <f t="shared" ref="K59:K60" si="64">L59+J59</f>
        <v>0</v>
      </c>
      <c r="L59" s="4">
        <v>0</v>
      </c>
      <c r="M59" s="4">
        <v>0</v>
      </c>
    </row>
    <row r="60" spans="1:13" x14ac:dyDescent="0.25">
      <c r="A60" s="19" t="s">
        <v>320</v>
      </c>
      <c r="B60" s="6" t="s">
        <v>36</v>
      </c>
      <c r="C60" s="5">
        <v>2.56</v>
      </c>
      <c r="D60" s="4">
        <f t="shared" si="63"/>
        <v>0</v>
      </c>
      <c r="E60" s="50">
        <f t="shared" si="61"/>
        <v>0</v>
      </c>
      <c r="F60" s="4">
        <v>0</v>
      </c>
      <c r="G60" s="4">
        <f t="shared" si="62"/>
        <v>0</v>
      </c>
      <c r="H60" s="4">
        <v>0</v>
      </c>
      <c r="I60" s="4">
        <f t="shared" si="62"/>
        <v>0</v>
      </c>
      <c r="J60" s="4">
        <v>0</v>
      </c>
      <c r="K60" s="4">
        <f t="shared" si="64"/>
        <v>0</v>
      </c>
      <c r="L60" s="4">
        <v>0</v>
      </c>
      <c r="M60" s="4">
        <v>0</v>
      </c>
    </row>
    <row r="61" spans="1:13" x14ac:dyDescent="0.25">
      <c r="A61" s="4" t="s">
        <v>71</v>
      </c>
      <c r="B61" s="6" t="s">
        <v>36</v>
      </c>
      <c r="C61" s="5">
        <v>1.1100000000000001</v>
      </c>
      <c r="D61" s="4">
        <f>IF(M61&gt;=(K61-L61),0,J61)</f>
        <v>0</v>
      </c>
      <c r="E61" s="50">
        <f>D61*C61</f>
        <v>0</v>
      </c>
      <c r="F61" s="4">
        <v>1</v>
      </c>
      <c r="G61" s="4">
        <f t="shared" ref="G61:I62" si="65">ROUNDUP($D$1*F61,0)</f>
        <v>6</v>
      </c>
      <c r="H61" s="4">
        <v>1</v>
      </c>
      <c r="I61" s="4">
        <f t="shared" si="65"/>
        <v>6</v>
      </c>
      <c r="J61" s="4">
        <v>0</v>
      </c>
      <c r="K61" s="4">
        <f>L61+J61</f>
        <v>5</v>
      </c>
      <c r="L61" s="4">
        <v>5</v>
      </c>
      <c r="M61" s="4">
        <v>0</v>
      </c>
    </row>
    <row r="62" spans="1:13" x14ac:dyDescent="0.25">
      <c r="A62" s="4" t="s">
        <v>99</v>
      </c>
      <c r="B62" s="6" t="s">
        <v>36</v>
      </c>
      <c r="C62" s="5">
        <v>1.96</v>
      </c>
      <c r="D62" s="4">
        <f>IF(M62&gt;=(K62-L62),0,J62)</f>
        <v>0</v>
      </c>
      <c r="E62" s="50">
        <f t="shared" ref="E62" si="66">D62*C62</f>
        <v>0</v>
      </c>
      <c r="F62" s="4">
        <v>1</v>
      </c>
      <c r="G62" s="4">
        <f t="shared" si="65"/>
        <v>6</v>
      </c>
      <c r="H62" s="4">
        <v>1</v>
      </c>
      <c r="I62" s="4">
        <f t="shared" si="65"/>
        <v>6</v>
      </c>
      <c r="J62" s="4">
        <v>0</v>
      </c>
      <c r="K62" s="4">
        <f>L62+J62</f>
        <v>5</v>
      </c>
      <c r="L62" s="4">
        <v>5</v>
      </c>
      <c r="M62" s="4">
        <v>0</v>
      </c>
    </row>
    <row r="63" spans="1:13" x14ac:dyDescent="0.25">
      <c r="L63" t="s">
        <v>381</v>
      </c>
    </row>
    <row r="65" spans="1:13" x14ac:dyDescent="0.25">
      <c r="A65" s="27"/>
      <c r="B65" s="29"/>
      <c r="C65" s="28"/>
      <c r="D65" s="27"/>
      <c r="E65" s="30"/>
      <c r="F65" s="30"/>
      <c r="G65" s="27"/>
      <c r="H65" s="27"/>
      <c r="I65" s="27"/>
      <c r="J65" s="27"/>
      <c r="K65" s="27"/>
      <c r="L65" s="27"/>
      <c r="M65" s="27"/>
    </row>
    <row r="66" spans="1:13" x14ac:dyDescent="0.25">
      <c r="A66" s="17" t="s">
        <v>314</v>
      </c>
      <c r="B66" s="29"/>
      <c r="C66" s="28"/>
      <c r="D66" s="27"/>
      <c r="E66" s="30"/>
      <c r="F66" s="30"/>
      <c r="G66" s="27"/>
      <c r="H66" s="27"/>
      <c r="I66" s="27"/>
      <c r="J66" s="27"/>
      <c r="K66" s="27"/>
      <c r="L66" s="27"/>
      <c r="M66" s="27"/>
    </row>
    <row r="67" spans="1:13" x14ac:dyDescent="0.25">
      <c r="A67" s="4" t="s">
        <v>104</v>
      </c>
      <c r="B67" s="6" t="s">
        <v>40</v>
      </c>
      <c r="C67" s="5">
        <v>72.900000000000006</v>
      </c>
      <c r="D67" s="4">
        <f t="shared" ref="D67:D90" si="67">IF(M67&gt;=(K67-L67),0,J67)</f>
        <v>0</v>
      </c>
      <c r="E67" s="15">
        <f t="shared" ref="E67:E84" si="68">D67*C67</f>
        <v>0</v>
      </c>
      <c r="F67" s="44"/>
      <c r="G67" s="12"/>
      <c r="H67" s="12"/>
      <c r="I67" s="12"/>
      <c r="J67" s="12">
        <v>0</v>
      </c>
      <c r="K67" s="4">
        <f t="shared" ref="K67:K90" si="69">L67+J67</f>
        <v>0</v>
      </c>
      <c r="L67" s="4">
        <v>0</v>
      </c>
      <c r="M67" s="4">
        <v>0</v>
      </c>
    </row>
    <row r="68" spans="1:13" x14ac:dyDescent="0.25">
      <c r="A68" s="4" t="s">
        <v>105</v>
      </c>
      <c r="B68" s="6" t="s">
        <v>40</v>
      </c>
      <c r="C68" s="5">
        <v>36.049999999999997</v>
      </c>
      <c r="D68" s="4">
        <f t="shared" si="67"/>
        <v>0</v>
      </c>
      <c r="E68" s="15">
        <f t="shared" si="68"/>
        <v>0</v>
      </c>
      <c r="F68" s="44"/>
      <c r="G68" s="12"/>
      <c r="H68" s="12"/>
      <c r="I68" s="12"/>
      <c r="J68" s="12">
        <v>0</v>
      </c>
      <c r="K68" s="4">
        <f t="shared" si="69"/>
        <v>0</v>
      </c>
      <c r="L68" s="4">
        <v>0</v>
      </c>
      <c r="M68" s="4">
        <v>0</v>
      </c>
    </row>
    <row r="69" spans="1:13" x14ac:dyDescent="0.25">
      <c r="A69" s="4" t="s">
        <v>106</v>
      </c>
      <c r="B69" s="6" t="s">
        <v>40</v>
      </c>
      <c r="C69" s="5">
        <v>9.99</v>
      </c>
      <c r="D69" s="4">
        <v>0</v>
      </c>
      <c r="E69" s="15">
        <f t="shared" si="68"/>
        <v>0</v>
      </c>
      <c r="F69" s="44"/>
      <c r="G69" s="12"/>
      <c r="H69" s="12"/>
      <c r="I69" s="12"/>
      <c r="J69" s="12">
        <v>0</v>
      </c>
      <c r="K69" s="4">
        <f t="shared" si="69"/>
        <v>0</v>
      </c>
      <c r="L69" s="4">
        <v>0</v>
      </c>
      <c r="M69" s="4">
        <v>0</v>
      </c>
    </row>
    <row r="70" spans="1:13" x14ac:dyDescent="0.25">
      <c r="A70" s="7" t="s">
        <v>327</v>
      </c>
      <c r="B70" s="8" t="s">
        <v>40</v>
      </c>
      <c r="C70" s="9">
        <v>15.83</v>
      </c>
      <c r="D70" s="4">
        <v>0</v>
      </c>
      <c r="E70" s="15">
        <f t="shared" si="68"/>
        <v>0</v>
      </c>
      <c r="F70" s="44"/>
      <c r="G70" s="12"/>
      <c r="H70" s="12"/>
      <c r="I70" s="12"/>
      <c r="J70" s="12">
        <v>1</v>
      </c>
      <c r="K70" s="4">
        <f t="shared" si="69"/>
        <v>1</v>
      </c>
      <c r="L70" s="4">
        <v>0</v>
      </c>
      <c r="M70" s="4">
        <v>0</v>
      </c>
    </row>
    <row r="71" spans="1:13" x14ac:dyDescent="0.25">
      <c r="A71" s="7" t="s">
        <v>328</v>
      </c>
      <c r="B71" s="8" t="s">
        <v>40</v>
      </c>
      <c r="C71" s="9">
        <v>5.99</v>
      </c>
      <c r="D71" s="4">
        <v>0</v>
      </c>
      <c r="E71" s="15">
        <f t="shared" si="68"/>
        <v>0</v>
      </c>
      <c r="F71" s="44"/>
      <c r="G71" s="12"/>
      <c r="H71" s="12"/>
      <c r="I71" s="12"/>
      <c r="J71" s="12">
        <v>1</v>
      </c>
      <c r="K71" s="4">
        <f t="shared" si="69"/>
        <v>1</v>
      </c>
      <c r="L71" s="4">
        <v>0</v>
      </c>
      <c r="M71" s="4">
        <v>0</v>
      </c>
    </row>
    <row r="72" spans="1:13" x14ac:dyDescent="0.25">
      <c r="A72" s="7" t="s">
        <v>329</v>
      </c>
      <c r="B72" s="8" t="s">
        <v>40</v>
      </c>
      <c r="C72" s="9">
        <v>7.49</v>
      </c>
      <c r="D72" s="4">
        <v>0</v>
      </c>
      <c r="E72" s="15">
        <f t="shared" si="68"/>
        <v>0</v>
      </c>
      <c r="F72" s="44"/>
      <c r="G72" s="12"/>
      <c r="H72" s="12"/>
      <c r="I72" s="12"/>
      <c r="J72" s="12">
        <v>1</v>
      </c>
      <c r="K72" s="4">
        <f t="shared" si="69"/>
        <v>1</v>
      </c>
      <c r="L72" s="4">
        <v>0</v>
      </c>
      <c r="M72" s="4">
        <v>0</v>
      </c>
    </row>
    <row r="73" spans="1:13" x14ac:dyDescent="0.25">
      <c r="A73" s="7" t="s">
        <v>330</v>
      </c>
      <c r="B73" s="8" t="s">
        <v>40</v>
      </c>
      <c r="C73" s="9">
        <v>12.29</v>
      </c>
      <c r="D73" s="4">
        <v>0</v>
      </c>
      <c r="E73" s="15">
        <f t="shared" si="68"/>
        <v>0</v>
      </c>
      <c r="F73" s="44"/>
      <c r="G73" s="12"/>
      <c r="H73" s="12"/>
      <c r="I73" s="12"/>
      <c r="J73" s="12">
        <v>1</v>
      </c>
      <c r="K73" s="4">
        <f t="shared" si="69"/>
        <v>1</v>
      </c>
      <c r="L73" s="4">
        <v>0</v>
      </c>
      <c r="M73" s="4">
        <v>0</v>
      </c>
    </row>
    <row r="74" spans="1:13" x14ac:dyDescent="0.25">
      <c r="A74" s="7" t="s">
        <v>332</v>
      </c>
      <c r="B74" s="8" t="s">
        <v>40</v>
      </c>
      <c r="C74" s="9">
        <v>9.9499999999999993</v>
      </c>
      <c r="D74" s="4">
        <v>0</v>
      </c>
      <c r="E74" s="15">
        <f t="shared" si="68"/>
        <v>0</v>
      </c>
      <c r="F74" s="44"/>
      <c r="G74" s="12"/>
      <c r="H74" s="12"/>
      <c r="I74" s="12"/>
      <c r="J74" s="12">
        <v>1</v>
      </c>
      <c r="K74" s="4">
        <f t="shared" si="69"/>
        <v>1</v>
      </c>
      <c r="L74" s="4">
        <v>0</v>
      </c>
      <c r="M74" s="4">
        <v>0</v>
      </c>
    </row>
    <row r="75" spans="1:13" x14ac:dyDescent="0.25">
      <c r="A75" s="7" t="s">
        <v>331</v>
      </c>
      <c r="B75" s="8" t="s">
        <v>40</v>
      </c>
      <c r="C75" s="9">
        <v>5.3</v>
      </c>
      <c r="D75" s="4">
        <v>0</v>
      </c>
      <c r="E75" s="15">
        <f t="shared" si="68"/>
        <v>0</v>
      </c>
      <c r="F75" s="44"/>
      <c r="G75" s="12"/>
      <c r="H75" s="12"/>
      <c r="I75" s="12"/>
      <c r="J75" s="12">
        <v>1</v>
      </c>
      <c r="K75" s="4">
        <f t="shared" si="69"/>
        <v>1</v>
      </c>
      <c r="L75" s="4">
        <v>0</v>
      </c>
      <c r="M75" s="4">
        <v>0</v>
      </c>
    </row>
    <row r="76" spans="1:13" x14ac:dyDescent="0.25">
      <c r="A76" s="7" t="s">
        <v>25</v>
      </c>
      <c r="B76" s="8" t="s">
        <v>38</v>
      </c>
      <c r="C76" s="9">
        <v>3.95</v>
      </c>
      <c r="D76" s="4">
        <f t="shared" si="67"/>
        <v>0</v>
      </c>
      <c r="E76" s="16">
        <f t="shared" si="68"/>
        <v>0</v>
      </c>
      <c r="F76" s="45"/>
      <c r="G76" s="14"/>
      <c r="H76" s="14"/>
      <c r="I76" s="14"/>
      <c r="J76" s="14">
        <v>0</v>
      </c>
      <c r="K76" s="4">
        <f t="shared" si="69"/>
        <v>0</v>
      </c>
      <c r="L76" s="7">
        <v>0</v>
      </c>
      <c r="M76" s="7">
        <v>0</v>
      </c>
    </row>
    <row r="77" spans="1:13" x14ac:dyDescent="0.25">
      <c r="A77" s="4" t="s">
        <v>26</v>
      </c>
      <c r="B77" s="6" t="s">
        <v>40</v>
      </c>
      <c r="C77" s="5">
        <v>4.6900000000000004</v>
      </c>
      <c r="D77" s="4">
        <f t="shared" si="67"/>
        <v>0</v>
      </c>
      <c r="E77" s="15">
        <f t="shared" si="68"/>
        <v>0</v>
      </c>
      <c r="F77" s="44"/>
      <c r="G77" s="12"/>
      <c r="H77" s="12"/>
      <c r="I77" s="12"/>
      <c r="J77" s="12">
        <v>0</v>
      </c>
      <c r="K77" s="4">
        <f t="shared" si="69"/>
        <v>0</v>
      </c>
      <c r="L77" s="4">
        <v>0</v>
      </c>
      <c r="M77" s="4">
        <v>0</v>
      </c>
    </row>
    <row r="78" spans="1:13" x14ac:dyDescent="0.25">
      <c r="A78" s="4" t="s">
        <v>95</v>
      </c>
      <c r="B78" s="6" t="s">
        <v>72</v>
      </c>
      <c r="C78" s="5">
        <v>2.95</v>
      </c>
      <c r="D78" s="4">
        <f t="shared" si="67"/>
        <v>0</v>
      </c>
      <c r="E78" s="15">
        <f t="shared" si="68"/>
        <v>0</v>
      </c>
      <c r="F78" s="44"/>
      <c r="G78" s="12"/>
      <c r="H78" s="12"/>
      <c r="I78" s="12"/>
      <c r="J78" s="12">
        <v>0</v>
      </c>
      <c r="K78" s="4">
        <f t="shared" si="69"/>
        <v>0</v>
      </c>
      <c r="L78" s="4">
        <v>0</v>
      </c>
      <c r="M78" s="4">
        <v>0</v>
      </c>
    </row>
    <row r="79" spans="1:13" x14ac:dyDescent="0.25">
      <c r="A79" s="4" t="s">
        <v>26</v>
      </c>
      <c r="B79" s="6" t="s">
        <v>36</v>
      </c>
      <c r="C79" s="5">
        <v>2.31</v>
      </c>
      <c r="D79" s="4">
        <f t="shared" si="67"/>
        <v>0</v>
      </c>
      <c r="E79" s="15">
        <f t="shared" si="68"/>
        <v>0</v>
      </c>
      <c r="F79" s="44"/>
      <c r="G79" s="12"/>
      <c r="H79" s="12"/>
      <c r="I79" s="12"/>
      <c r="J79" s="12">
        <v>0</v>
      </c>
      <c r="K79" s="4">
        <f t="shared" si="69"/>
        <v>0</v>
      </c>
      <c r="L79" s="4">
        <v>0</v>
      </c>
      <c r="M79" s="4">
        <v>0</v>
      </c>
    </row>
    <row r="80" spans="1:13" x14ac:dyDescent="0.25">
      <c r="A80" s="4" t="s">
        <v>94</v>
      </c>
      <c r="B80" s="6" t="s">
        <v>38</v>
      </c>
      <c r="C80" s="5">
        <v>5.95</v>
      </c>
      <c r="D80" s="4">
        <f t="shared" si="67"/>
        <v>0</v>
      </c>
      <c r="E80" s="15">
        <f t="shared" si="68"/>
        <v>0</v>
      </c>
      <c r="F80" s="44"/>
      <c r="G80" s="12"/>
      <c r="H80" s="12"/>
      <c r="I80" s="12"/>
      <c r="J80" s="12">
        <v>0</v>
      </c>
      <c r="K80" s="4">
        <f t="shared" si="69"/>
        <v>0</v>
      </c>
      <c r="L80" s="4">
        <v>0</v>
      </c>
      <c r="M80" s="4">
        <v>0</v>
      </c>
    </row>
    <row r="81" spans="1:13" x14ac:dyDescent="0.25">
      <c r="A81" s="4" t="s">
        <v>96</v>
      </c>
      <c r="B81" s="6" t="s">
        <v>72</v>
      </c>
      <c r="C81" s="5">
        <v>7.95</v>
      </c>
      <c r="D81" s="4">
        <f t="shared" si="67"/>
        <v>0</v>
      </c>
      <c r="E81" s="15">
        <f t="shared" si="68"/>
        <v>0</v>
      </c>
      <c r="F81" s="44"/>
      <c r="G81" s="12"/>
      <c r="H81" s="12"/>
      <c r="I81" s="12"/>
      <c r="J81" s="12">
        <v>0</v>
      </c>
      <c r="K81" s="4">
        <f t="shared" si="69"/>
        <v>0</v>
      </c>
      <c r="L81" s="4">
        <v>0</v>
      </c>
      <c r="M81" s="4">
        <v>0</v>
      </c>
    </row>
    <row r="82" spans="1:13" x14ac:dyDescent="0.25">
      <c r="A82" s="4" t="s">
        <v>97</v>
      </c>
      <c r="B82" s="6" t="s">
        <v>72</v>
      </c>
      <c r="C82" s="5">
        <v>6.95</v>
      </c>
      <c r="D82" s="4">
        <f t="shared" si="67"/>
        <v>0</v>
      </c>
      <c r="E82" s="15">
        <f t="shared" si="68"/>
        <v>0</v>
      </c>
      <c r="F82" s="44"/>
      <c r="G82" s="12"/>
      <c r="H82" s="12"/>
      <c r="I82" s="12"/>
      <c r="J82" s="12">
        <v>0</v>
      </c>
      <c r="K82" s="4">
        <f t="shared" si="69"/>
        <v>0</v>
      </c>
      <c r="L82" s="4">
        <v>0</v>
      </c>
      <c r="M82" s="4">
        <v>0</v>
      </c>
    </row>
    <row r="83" spans="1:13" x14ac:dyDescent="0.25">
      <c r="A83" s="4" t="s">
        <v>103</v>
      </c>
      <c r="B83" s="6" t="s">
        <v>36</v>
      </c>
      <c r="C83" s="5">
        <v>4.25</v>
      </c>
      <c r="D83" s="4">
        <f t="shared" si="67"/>
        <v>0</v>
      </c>
      <c r="E83" s="15">
        <f t="shared" si="68"/>
        <v>0</v>
      </c>
      <c r="F83" s="44"/>
      <c r="G83" s="12"/>
      <c r="H83" s="12"/>
      <c r="I83" s="12"/>
      <c r="J83" s="12">
        <v>0</v>
      </c>
      <c r="K83" s="4">
        <f t="shared" si="69"/>
        <v>0</v>
      </c>
      <c r="L83" s="4">
        <v>0</v>
      </c>
      <c r="M83" s="4">
        <v>0</v>
      </c>
    </row>
    <row r="84" spans="1:13" x14ac:dyDescent="0.25">
      <c r="A84" s="4" t="s">
        <v>127</v>
      </c>
      <c r="B84" s="6" t="s">
        <v>40</v>
      </c>
      <c r="C84" s="5">
        <v>24.95</v>
      </c>
      <c r="D84" s="4">
        <f t="shared" si="67"/>
        <v>0</v>
      </c>
      <c r="E84" s="15">
        <f t="shared" si="68"/>
        <v>0</v>
      </c>
      <c r="F84" s="44"/>
      <c r="G84" s="12"/>
      <c r="H84" s="12"/>
      <c r="I84" s="12"/>
      <c r="J84" s="12">
        <v>0</v>
      </c>
      <c r="K84" s="4">
        <f t="shared" si="69"/>
        <v>0</v>
      </c>
      <c r="L84" s="4">
        <v>0</v>
      </c>
      <c r="M84" s="4">
        <v>0</v>
      </c>
    </row>
    <row r="85" spans="1:13" x14ac:dyDescent="0.25">
      <c r="A85" s="4" t="s">
        <v>27</v>
      </c>
      <c r="B85" s="6" t="s">
        <v>40</v>
      </c>
      <c r="C85" s="5">
        <v>93.37</v>
      </c>
      <c r="D85" s="4">
        <f t="shared" si="67"/>
        <v>0</v>
      </c>
      <c r="E85" s="15">
        <f>D85*C85</f>
        <v>0</v>
      </c>
      <c r="F85" s="44"/>
      <c r="G85" s="12"/>
      <c r="H85" s="12"/>
      <c r="I85" s="12"/>
      <c r="J85" s="12">
        <v>0</v>
      </c>
      <c r="K85" s="4">
        <f t="shared" si="69"/>
        <v>0</v>
      </c>
      <c r="L85" s="4">
        <v>0</v>
      </c>
      <c r="M85" s="4">
        <v>0</v>
      </c>
    </row>
    <row r="86" spans="1:13" x14ac:dyDescent="0.25">
      <c r="A86" s="4" t="s">
        <v>28</v>
      </c>
      <c r="B86" s="6" t="s">
        <v>40</v>
      </c>
      <c r="C86" s="5">
        <v>6.11</v>
      </c>
      <c r="D86" s="4">
        <f t="shared" si="67"/>
        <v>0</v>
      </c>
      <c r="E86" s="15">
        <f>D86*C86</f>
        <v>0</v>
      </c>
      <c r="F86" s="44"/>
      <c r="G86" s="12"/>
      <c r="H86" s="12"/>
      <c r="I86" s="12"/>
      <c r="J86" s="12">
        <v>0</v>
      </c>
      <c r="K86" s="4">
        <f t="shared" si="69"/>
        <v>0</v>
      </c>
      <c r="L86" s="4">
        <v>0</v>
      </c>
      <c r="M86" s="4">
        <v>0</v>
      </c>
    </row>
    <row r="87" spans="1:13" x14ac:dyDescent="0.25">
      <c r="A87" s="4" t="s">
        <v>28</v>
      </c>
      <c r="B87" s="6" t="s">
        <v>36</v>
      </c>
      <c r="C87" s="5">
        <v>4.0999999999999996</v>
      </c>
      <c r="D87" s="4">
        <f t="shared" si="67"/>
        <v>0</v>
      </c>
      <c r="E87" s="15">
        <f t="shared" ref="E87" si="70">D87*C87</f>
        <v>0</v>
      </c>
      <c r="F87" s="44"/>
      <c r="G87" s="12"/>
      <c r="H87" s="12"/>
      <c r="I87" s="12"/>
      <c r="J87" s="12">
        <v>0</v>
      </c>
      <c r="K87" s="4">
        <f t="shared" si="69"/>
        <v>0</v>
      </c>
      <c r="L87" s="4">
        <v>0</v>
      </c>
      <c r="M87" s="4">
        <v>0</v>
      </c>
    </row>
    <row r="88" spans="1:13" x14ac:dyDescent="0.25">
      <c r="A88" s="4" t="s">
        <v>43</v>
      </c>
      <c r="B88" s="6" t="s">
        <v>40</v>
      </c>
      <c r="C88" s="5">
        <v>8.99</v>
      </c>
      <c r="D88" s="4">
        <f t="shared" si="67"/>
        <v>0</v>
      </c>
      <c r="E88" s="15">
        <f>D88*C88</f>
        <v>0</v>
      </c>
      <c r="F88" s="44"/>
      <c r="G88" s="12"/>
      <c r="H88" s="12"/>
      <c r="I88" s="12"/>
      <c r="J88" s="12">
        <v>0</v>
      </c>
      <c r="K88" s="4">
        <f t="shared" si="69"/>
        <v>0</v>
      </c>
      <c r="L88" s="4">
        <v>0</v>
      </c>
      <c r="M88" s="4">
        <v>0</v>
      </c>
    </row>
    <row r="89" spans="1:13" x14ac:dyDescent="0.25">
      <c r="A89" s="4" t="s">
        <v>82</v>
      </c>
      <c r="B89" s="6" t="s">
        <v>36</v>
      </c>
      <c r="C89" s="5">
        <v>0.38</v>
      </c>
      <c r="D89" s="4">
        <f t="shared" si="67"/>
        <v>0</v>
      </c>
      <c r="E89" s="15">
        <f>D89*C89</f>
        <v>0</v>
      </c>
      <c r="F89" s="44"/>
      <c r="G89" s="12"/>
      <c r="H89" s="12"/>
      <c r="I89" s="12"/>
      <c r="J89" s="12">
        <v>0</v>
      </c>
      <c r="K89" s="4">
        <f t="shared" si="69"/>
        <v>0</v>
      </c>
      <c r="L89" s="4">
        <v>0</v>
      </c>
      <c r="M89" s="4">
        <v>0</v>
      </c>
    </row>
    <row r="90" spans="1:13" x14ac:dyDescent="0.25">
      <c r="A90" s="4" t="s">
        <v>29</v>
      </c>
      <c r="B90" s="6" t="s">
        <v>40</v>
      </c>
      <c r="C90" s="5">
        <v>26.99</v>
      </c>
      <c r="D90" s="4">
        <f t="shared" si="67"/>
        <v>0</v>
      </c>
      <c r="E90" s="15">
        <f>D90*C90</f>
        <v>0</v>
      </c>
      <c r="F90" s="44"/>
      <c r="G90" s="12"/>
      <c r="H90" s="12"/>
      <c r="I90" s="12"/>
      <c r="J90" s="12">
        <v>0</v>
      </c>
      <c r="K90" s="4">
        <f t="shared" si="69"/>
        <v>0</v>
      </c>
      <c r="L90" s="4">
        <v>0</v>
      </c>
      <c r="M90" s="4">
        <v>0</v>
      </c>
    </row>
    <row r="91" spans="1:13" x14ac:dyDescent="0.25">
      <c r="A91" t="s">
        <v>58</v>
      </c>
      <c r="E91" s="3">
        <f>SUM(E28:E90)</f>
        <v>22</v>
      </c>
      <c r="F91" s="3"/>
      <c r="G91" s="2">
        <f>SUMPRODUCT($C$3:$C$90,G3:G90)/$D$1</f>
        <v>105.67833333333333</v>
      </c>
      <c r="H91" s="2"/>
      <c r="I91" s="2">
        <f>SUMPRODUCT($C$3:$C$90,I3:I90)/$D$1</f>
        <v>112.94833333333331</v>
      </c>
      <c r="J91" t="s">
        <v>70</v>
      </c>
    </row>
    <row r="92" spans="1:13" x14ac:dyDescent="0.25">
      <c r="I92" s="3">
        <f>SUMPRODUCT($C$3:$C$90,H3:H90)</f>
        <v>112.39700000000002</v>
      </c>
      <c r="K92" s="2"/>
      <c r="L92" s="2">
        <f>SUMPRODUCT($C$28:$C$90,L28:L90)</f>
        <v>143.77000000000004</v>
      </c>
    </row>
    <row r="93" spans="1:13" x14ac:dyDescent="0.25">
      <c r="I93" s="3"/>
      <c r="K93" s="2"/>
      <c r="L93" s="2"/>
    </row>
    <row r="94" spans="1:13" x14ac:dyDescent="0.25">
      <c r="B94" t="s">
        <v>40</v>
      </c>
      <c r="E94" s="2">
        <f t="shared" ref="E94:E100" si="71">SUMIF($B$3:$B$90,B94,$E$3:$E$90)</f>
        <v>0</v>
      </c>
      <c r="G94" s="2">
        <f t="shared" ref="G94:G100" si="72">SUMPRODUCT(--($B$3:$B$90=$B94),$C$3:$C$90,$G$3:$G$90)/$D$1</f>
        <v>46.98</v>
      </c>
      <c r="H94" s="52">
        <f>G94/$I$91</f>
        <v>0.41594239253936172</v>
      </c>
      <c r="I94" s="2">
        <f>SUMPRODUCT(--($B$3:$B$90=$B94),$C$3:$C$90,$I$3:$I$90)/$D$1</f>
        <v>46.98</v>
      </c>
      <c r="J94" s="52">
        <f>I94/$I$91</f>
        <v>0.41594239253936172</v>
      </c>
    </row>
    <row r="95" spans="1:13" x14ac:dyDescent="0.25">
      <c r="B95" t="s">
        <v>36</v>
      </c>
      <c r="E95" s="2">
        <f t="shared" si="71"/>
        <v>22</v>
      </c>
      <c r="G95" s="2">
        <f t="shared" si="72"/>
        <v>22.344999999999999</v>
      </c>
      <c r="H95" s="52">
        <f t="shared" ref="H95:H100" si="73">G95/$I$91</f>
        <v>0.19783381782230816</v>
      </c>
      <c r="I95" s="2">
        <f t="shared" ref="I95:I100" si="74">SUMPRODUCT(--($B$3:$B$90=$B95),$C$3:$C$90,$I$3:$I$90)/$D$1</f>
        <v>29.165000000000003</v>
      </c>
      <c r="J95" s="52">
        <f t="shared" ref="J95:J100" si="75">I95/$I$91</f>
        <v>0.25821540822499972</v>
      </c>
    </row>
    <row r="96" spans="1:13" x14ac:dyDescent="0.25">
      <c r="B96" t="s">
        <v>375</v>
      </c>
      <c r="E96" s="2">
        <f t="shared" si="71"/>
        <v>0</v>
      </c>
      <c r="G96" s="2">
        <f t="shared" si="72"/>
        <v>3.3833333333333333</v>
      </c>
      <c r="H96" s="52">
        <f t="shared" si="73"/>
        <v>2.9954699051188603E-2</v>
      </c>
      <c r="I96" s="2">
        <f t="shared" si="74"/>
        <v>3.3833333333333333</v>
      </c>
      <c r="J96" s="52">
        <f t="shared" si="75"/>
        <v>2.9954699051188603E-2</v>
      </c>
    </row>
    <row r="97" spans="1:13" x14ac:dyDescent="0.25">
      <c r="B97" t="s">
        <v>338</v>
      </c>
      <c r="E97" s="2">
        <f t="shared" si="71"/>
        <v>0</v>
      </c>
      <c r="G97" s="2">
        <f t="shared" si="72"/>
        <v>14.62</v>
      </c>
      <c r="H97" s="52">
        <f t="shared" si="73"/>
        <v>0.12943971432365833</v>
      </c>
      <c r="I97" s="2">
        <f t="shared" si="74"/>
        <v>14.62</v>
      </c>
      <c r="J97" s="52">
        <f t="shared" si="75"/>
        <v>0.12943971432365833</v>
      </c>
    </row>
    <row r="98" spans="1:13" x14ac:dyDescent="0.25">
      <c r="B98" t="s">
        <v>39</v>
      </c>
      <c r="E98" s="2">
        <f t="shared" si="71"/>
        <v>0</v>
      </c>
      <c r="G98" s="2">
        <f t="shared" si="72"/>
        <v>8.9499999999999993</v>
      </c>
      <c r="H98" s="52">
        <f t="shared" si="73"/>
        <v>7.9239770396493978E-2</v>
      </c>
      <c r="I98" s="2">
        <f t="shared" si="74"/>
        <v>0</v>
      </c>
      <c r="J98" s="52">
        <f t="shared" si="75"/>
        <v>0</v>
      </c>
    </row>
    <row r="99" spans="1:13" x14ac:dyDescent="0.25">
      <c r="B99" t="s">
        <v>31</v>
      </c>
      <c r="E99" s="2">
        <f t="shared" si="71"/>
        <v>0</v>
      </c>
      <c r="G99" s="2">
        <f t="shared" si="72"/>
        <v>9.4</v>
      </c>
      <c r="H99" s="52">
        <f t="shared" si="73"/>
        <v>8.3223892930395921E-2</v>
      </c>
      <c r="I99" s="2">
        <f t="shared" si="74"/>
        <v>18.8</v>
      </c>
      <c r="J99" s="52">
        <f t="shared" si="75"/>
        <v>0.16644778586079184</v>
      </c>
    </row>
    <row r="100" spans="1:13" x14ac:dyDescent="0.25">
      <c r="A100" s="27"/>
      <c r="B100" t="s">
        <v>38</v>
      </c>
      <c r="C100" s="28"/>
      <c r="D100" s="27"/>
      <c r="E100" s="2">
        <f t="shared" si="71"/>
        <v>0</v>
      </c>
      <c r="F100" s="30"/>
      <c r="G100" s="2">
        <f t="shared" si="72"/>
        <v>0</v>
      </c>
      <c r="H100" s="52">
        <f t="shared" si="73"/>
        <v>0</v>
      </c>
      <c r="I100" s="2">
        <f t="shared" si="74"/>
        <v>0</v>
      </c>
      <c r="J100" s="52">
        <f t="shared" si="75"/>
        <v>0</v>
      </c>
      <c r="K100" s="27"/>
      <c r="L100" s="27"/>
      <c r="M100" s="27"/>
    </row>
    <row r="101" spans="1:13" x14ac:dyDescent="0.25">
      <c r="A101" s="27"/>
      <c r="B101" s="29"/>
      <c r="C101" s="28"/>
      <c r="D101" s="27"/>
      <c r="E101" s="30"/>
      <c r="F101" s="30"/>
      <c r="G101" s="27"/>
      <c r="H101" s="27"/>
      <c r="I101" s="27"/>
      <c r="J101" s="27"/>
      <c r="K101" s="27"/>
      <c r="L101" s="27"/>
      <c r="M101" s="27"/>
    </row>
    <row r="102" spans="1:13" x14ac:dyDescent="0.25">
      <c r="A102" s="17"/>
      <c r="B102" s="29"/>
      <c r="C102" s="28"/>
      <c r="D102" s="27"/>
      <c r="E102" s="30"/>
      <c r="F102" s="30"/>
      <c r="G102" s="27"/>
      <c r="H102" s="27"/>
      <c r="I102" s="27"/>
      <c r="J102" s="27"/>
      <c r="K102" s="27"/>
      <c r="L102" s="27"/>
      <c r="M102" s="27"/>
    </row>
    <row r="103" spans="1:13" x14ac:dyDescent="0.25">
      <c r="A103" s="17" t="s">
        <v>315</v>
      </c>
      <c r="B103" s="29"/>
      <c r="C103" s="28"/>
      <c r="D103" s="27"/>
      <c r="E103" s="30"/>
      <c r="F103" s="30"/>
      <c r="G103" s="27"/>
      <c r="H103" s="27"/>
      <c r="I103" s="27"/>
      <c r="J103" s="27"/>
      <c r="K103" s="27"/>
      <c r="L103" s="27"/>
      <c r="M103" s="27"/>
    </row>
    <row r="104" spans="1:13" x14ac:dyDescent="0.25">
      <c r="A104" s="4" t="s">
        <v>87</v>
      </c>
      <c r="B104" s="6" t="s">
        <v>36</v>
      </c>
      <c r="C104" s="5">
        <v>0.24</v>
      </c>
      <c r="D104" s="4">
        <f t="shared" ref="D104:D118" si="76">IF(M104&gt;=(K104-L104),0,J104)</f>
        <v>0</v>
      </c>
      <c r="E104" s="15">
        <f t="shared" ref="E104:E113" si="77">D104*C104</f>
        <v>0</v>
      </c>
      <c r="F104" s="44"/>
      <c r="G104" s="12">
        <f t="shared" ref="G104:G118" si="78">ROUNDUP($D$1*0,0)</f>
        <v>0</v>
      </c>
      <c r="H104" s="12"/>
      <c r="I104" s="12"/>
      <c r="J104" s="12">
        <v>0</v>
      </c>
      <c r="K104" s="4">
        <f t="shared" ref="K104:K118" si="79">L104+J104</f>
        <v>0</v>
      </c>
      <c r="L104" s="4">
        <v>0</v>
      </c>
      <c r="M104" s="4">
        <v>0</v>
      </c>
    </row>
    <row r="105" spans="1:13" x14ac:dyDescent="0.25">
      <c r="A105" s="4" t="s">
        <v>21</v>
      </c>
      <c r="B105" s="6" t="s">
        <v>36</v>
      </c>
      <c r="C105" s="5">
        <v>0.51</v>
      </c>
      <c r="D105" s="4">
        <f t="shared" si="76"/>
        <v>0</v>
      </c>
      <c r="E105" s="15">
        <f t="shared" si="77"/>
        <v>0</v>
      </c>
      <c r="F105" s="44"/>
      <c r="G105" s="12">
        <f t="shared" si="78"/>
        <v>0</v>
      </c>
      <c r="H105" s="12"/>
      <c r="I105" s="12"/>
      <c r="J105" s="12">
        <v>0</v>
      </c>
      <c r="K105" s="4">
        <f t="shared" si="79"/>
        <v>0</v>
      </c>
      <c r="L105" s="4">
        <v>0</v>
      </c>
      <c r="M105" s="4">
        <v>0</v>
      </c>
    </row>
    <row r="106" spans="1:13" x14ac:dyDescent="0.25">
      <c r="A106" s="4" t="s">
        <v>22</v>
      </c>
      <c r="B106" s="6" t="s">
        <v>38</v>
      </c>
      <c r="C106" s="5">
        <v>11.95</v>
      </c>
      <c r="D106" s="4">
        <f t="shared" si="76"/>
        <v>0</v>
      </c>
      <c r="E106" s="15">
        <f t="shared" si="77"/>
        <v>0</v>
      </c>
      <c r="F106" s="44"/>
      <c r="G106" s="12">
        <f t="shared" si="78"/>
        <v>0</v>
      </c>
      <c r="H106" s="12"/>
      <c r="I106" s="12"/>
      <c r="J106" s="12">
        <v>0</v>
      </c>
      <c r="K106" s="4">
        <f t="shared" si="79"/>
        <v>0</v>
      </c>
      <c r="L106" s="4">
        <v>0</v>
      </c>
      <c r="M106" s="4">
        <v>0</v>
      </c>
    </row>
    <row r="107" spans="1:13" x14ac:dyDescent="0.25">
      <c r="A107" s="4" t="s">
        <v>23</v>
      </c>
      <c r="B107" s="6" t="s">
        <v>39</v>
      </c>
      <c r="C107" s="5">
        <v>0.85</v>
      </c>
      <c r="D107" s="4">
        <f t="shared" si="76"/>
        <v>0</v>
      </c>
      <c r="E107" s="15">
        <f t="shared" si="77"/>
        <v>0</v>
      </c>
      <c r="F107" s="44"/>
      <c r="G107" s="12">
        <f t="shared" si="78"/>
        <v>0</v>
      </c>
      <c r="H107" s="12"/>
      <c r="I107" s="12"/>
      <c r="J107" s="12">
        <v>0</v>
      </c>
      <c r="K107" s="4">
        <f t="shared" si="79"/>
        <v>2</v>
      </c>
      <c r="L107" s="4">
        <v>2</v>
      </c>
      <c r="M107" s="4">
        <v>0</v>
      </c>
    </row>
    <row r="108" spans="1:13" x14ac:dyDescent="0.25">
      <c r="A108" s="4" t="s">
        <v>24</v>
      </c>
      <c r="B108" s="6" t="s">
        <v>39</v>
      </c>
      <c r="C108" s="5">
        <v>4.95</v>
      </c>
      <c r="D108" s="4">
        <f t="shared" si="76"/>
        <v>0</v>
      </c>
      <c r="E108" s="15">
        <f t="shared" si="77"/>
        <v>0</v>
      </c>
      <c r="F108" s="44"/>
      <c r="G108" s="12">
        <f t="shared" si="78"/>
        <v>0</v>
      </c>
      <c r="H108" s="12"/>
      <c r="I108" s="12"/>
      <c r="J108" s="12">
        <v>0</v>
      </c>
      <c r="K108" s="4">
        <f t="shared" si="79"/>
        <v>2</v>
      </c>
      <c r="L108" s="4">
        <v>2</v>
      </c>
      <c r="M108" s="4">
        <v>0</v>
      </c>
    </row>
    <row r="109" spans="1:13" x14ac:dyDescent="0.25">
      <c r="A109" s="4" t="s">
        <v>67</v>
      </c>
      <c r="B109" s="6" t="s">
        <v>38</v>
      </c>
      <c r="C109" s="5">
        <v>1.5</v>
      </c>
      <c r="D109" s="4">
        <f t="shared" si="76"/>
        <v>0</v>
      </c>
      <c r="E109" s="15">
        <f t="shared" si="77"/>
        <v>0</v>
      </c>
      <c r="F109" s="44"/>
      <c r="G109" s="12">
        <f t="shared" si="78"/>
        <v>0</v>
      </c>
      <c r="H109" s="12"/>
      <c r="I109" s="12"/>
      <c r="J109" s="12">
        <v>0</v>
      </c>
      <c r="K109" s="4">
        <f t="shared" si="79"/>
        <v>0</v>
      </c>
      <c r="L109" s="4">
        <v>0</v>
      </c>
      <c r="M109" s="4">
        <v>0</v>
      </c>
    </row>
    <row r="110" spans="1:13" x14ac:dyDescent="0.25">
      <c r="A110" s="4" t="s">
        <v>77</v>
      </c>
      <c r="B110" s="6" t="s">
        <v>72</v>
      </c>
      <c r="C110" s="5">
        <v>1.95</v>
      </c>
      <c r="D110" s="4">
        <f t="shared" si="76"/>
        <v>0</v>
      </c>
      <c r="E110" s="15">
        <f t="shared" si="77"/>
        <v>0</v>
      </c>
      <c r="F110" s="44"/>
      <c r="G110" s="12">
        <f t="shared" si="78"/>
        <v>0</v>
      </c>
      <c r="H110" s="12"/>
      <c r="I110" s="12"/>
      <c r="J110" s="12">
        <v>0</v>
      </c>
      <c r="K110" s="4">
        <f t="shared" si="79"/>
        <v>3</v>
      </c>
      <c r="L110" s="4">
        <v>3</v>
      </c>
      <c r="M110" s="4">
        <v>0</v>
      </c>
    </row>
    <row r="111" spans="1:13" x14ac:dyDescent="0.25">
      <c r="A111" s="4" t="s">
        <v>78</v>
      </c>
      <c r="B111" s="6" t="s">
        <v>72</v>
      </c>
      <c r="C111" s="5">
        <v>4.95</v>
      </c>
      <c r="D111" s="4">
        <f t="shared" si="76"/>
        <v>0</v>
      </c>
      <c r="E111" s="15">
        <f t="shared" si="77"/>
        <v>0</v>
      </c>
      <c r="F111" s="44"/>
      <c r="G111" s="12">
        <f t="shared" si="78"/>
        <v>0</v>
      </c>
      <c r="H111" s="12"/>
      <c r="I111" s="12"/>
      <c r="J111" s="12">
        <v>0</v>
      </c>
      <c r="K111" s="4">
        <f t="shared" si="79"/>
        <v>0</v>
      </c>
      <c r="L111" s="4">
        <v>0</v>
      </c>
      <c r="M111" s="4">
        <v>0</v>
      </c>
    </row>
    <row r="112" spans="1:13" x14ac:dyDescent="0.25">
      <c r="A112" s="4" t="s">
        <v>81</v>
      </c>
      <c r="B112" s="6" t="s">
        <v>40</v>
      </c>
      <c r="C112" s="5">
        <v>7.62</v>
      </c>
      <c r="D112" s="4">
        <f t="shared" si="76"/>
        <v>0</v>
      </c>
      <c r="E112" s="15">
        <f t="shared" si="77"/>
        <v>0</v>
      </c>
      <c r="F112" s="44"/>
      <c r="G112" s="12">
        <f t="shared" si="78"/>
        <v>0</v>
      </c>
      <c r="H112" s="12"/>
      <c r="I112" s="12"/>
      <c r="J112" s="12">
        <v>0</v>
      </c>
      <c r="K112" s="4">
        <f t="shared" si="79"/>
        <v>3</v>
      </c>
      <c r="L112" s="4">
        <v>3</v>
      </c>
      <c r="M112" s="4">
        <v>0</v>
      </c>
    </row>
    <row r="113" spans="1:15" x14ac:dyDescent="0.25">
      <c r="A113" s="4" t="s">
        <v>101</v>
      </c>
      <c r="B113" s="6" t="s">
        <v>40</v>
      </c>
      <c r="C113" s="5">
        <v>12.863</v>
      </c>
      <c r="D113" s="4">
        <f t="shared" si="76"/>
        <v>0</v>
      </c>
      <c r="E113" s="15">
        <f t="shared" si="77"/>
        <v>0</v>
      </c>
      <c r="F113" s="44"/>
      <c r="G113" s="12">
        <f t="shared" si="78"/>
        <v>0</v>
      </c>
      <c r="H113" s="12"/>
      <c r="I113" s="12"/>
      <c r="J113" s="12">
        <v>0</v>
      </c>
      <c r="K113" s="4">
        <f t="shared" si="79"/>
        <v>0</v>
      </c>
      <c r="L113" s="4">
        <v>0</v>
      </c>
      <c r="M113" s="4">
        <v>0</v>
      </c>
    </row>
    <row r="114" spans="1:15" x14ac:dyDescent="0.25">
      <c r="A114" s="4" t="s">
        <v>69</v>
      </c>
      <c r="B114" s="6" t="s">
        <v>39</v>
      </c>
      <c r="C114" s="5">
        <v>4.95</v>
      </c>
      <c r="D114" s="4">
        <f t="shared" si="76"/>
        <v>0</v>
      </c>
      <c r="E114" s="15">
        <f>D114*C114</f>
        <v>0</v>
      </c>
      <c r="F114" s="44"/>
      <c r="G114" s="12">
        <f t="shared" si="78"/>
        <v>0</v>
      </c>
      <c r="H114" s="12"/>
      <c r="I114" s="12"/>
      <c r="J114" s="12">
        <v>0</v>
      </c>
      <c r="K114" s="4">
        <f t="shared" si="79"/>
        <v>0</v>
      </c>
      <c r="L114" s="4">
        <v>0</v>
      </c>
      <c r="M114" s="4">
        <v>0</v>
      </c>
    </row>
    <row r="115" spans="1:15" x14ac:dyDescent="0.25">
      <c r="A115" s="4" t="s">
        <v>42</v>
      </c>
      <c r="B115" s="6" t="s">
        <v>36</v>
      </c>
      <c r="C115" s="5">
        <v>0.89</v>
      </c>
      <c r="D115" s="4">
        <f t="shared" si="76"/>
        <v>0</v>
      </c>
      <c r="E115" s="15">
        <f t="shared" ref="E115" si="80">D115*C115</f>
        <v>0</v>
      </c>
      <c r="F115" s="44"/>
      <c r="G115" s="12">
        <f t="shared" si="78"/>
        <v>0</v>
      </c>
      <c r="H115" s="12"/>
      <c r="I115" s="12"/>
      <c r="J115" s="12">
        <v>0</v>
      </c>
      <c r="K115" s="4">
        <f t="shared" si="79"/>
        <v>0</v>
      </c>
      <c r="L115" s="4">
        <v>0</v>
      </c>
      <c r="M115" s="4">
        <v>0</v>
      </c>
    </row>
    <row r="116" spans="1:15" x14ac:dyDescent="0.25">
      <c r="A116" s="4" t="s">
        <v>17</v>
      </c>
      <c r="B116" s="6" t="s">
        <v>36</v>
      </c>
      <c r="C116" s="5">
        <v>0.1</v>
      </c>
      <c r="D116" s="4">
        <f t="shared" si="76"/>
        <v>0</v>
      </c>
      <c r="E116" s="15">
        <f t="shared" ref="E116:E125" si="81">D116*C116</f>
        <v>0</v>
      </c>
      <c r="F116" s="44"/>
      <c r="G116" s="12">
        <f t="shared" si="78"/>
        <v>0</v>
      </c>
      <c r="H116" s="12"/>
      <c r="I116" s="12"/>
      <c r="J116" s="12">
        <v>0</v>
      </c>
      <c r="K116" s="4">
        <f t="shared" si="79"/>
        <v>0</v>
      </c>
      <c r="L116" s="4">
        <v>0</v>
      </c>
      <c r="M116" s="4">
        <v>0</v>
      </c>
      <c r="N116" s="24"/>
    </row>
    <row r="117" spans="1:15" x14ac:dyDescent="0.25">
      <c r="A117" s="4" t="s">
        <v>16</v>
      </c>
      <c r="B117" s="6" t="s">
        <v>36</v>
      </c>
      <c r="C117" s="5">
        <v>0.1</v>
      </c>
      <c r="D117" s="4">
        <f t="shared" si="76"/>
        <v>0</v>
      </c>
      <c r="E117" s="15">
        <f t="shared" si="81"/>
        <v>0</v>
      </c>
      <c r="F117" s="44"/>
      <c r="G117" s="12">
        <f t="shared" si="78"/>
        <v>0</v>
      </c>
      <c r="H117" s="12"/>
      <c r="I117" s="12"/>
      <c r="J117" s="12">
        <v>0</v>
      </c>
      <c r="K117" s="4">
        <f t="shared" si="79"/>
        <v>0</v>
      </c>
      <c r="L117" s="4">
        <v>0</v>
      </c>
      <c r="M117" s="4">
        <v>0</v>
      </c>
    </row>
    <row r="118" spans="1:15" x14ac:dyDescent="0.25">
      <c r="A118" s="4" t="s">
        <v>310</v>
      </c>
      <c r="B118" s="6" t="s">
        <v>36</v>
      </c>
      <c r="C118" s="5">
        <v>1.4</v>
      </c>
      <c r="D118" s="4">
        <f t="shared" si="76"/>
        <v>0</v>
      </c>
      <c r="E118" s="15">
        <f t="shared" si="81"/>
        <v>0</v>
      </c>
      <c r="F118" s="44"/>
      <c r="G118" s="12">
        <f t="shared" si="78"/>
        <v>0</v>
      </c>
      <c r="H118" s="12"/>
      <c r="I118" s="12"/>
      <c r="J118" s="12">
        <v>0</v>
      </c>
      <c r="K118" s="4">
        <f t="shared" si="79"/>
        <v>0</v>
      </c>
      <c r="L118" s="4">
        <v>0</v>
      </c>
      <c r="M118" s="4">
        <v>0</v>
      </c>
      <c r="N118" s="24"/>
    </row>
    <row r="119" spans="1:15" x14ac:dyDescent="0.25">
      <c r="A119" s="25" t="s">
        <v>73</v>
      </c>
      <c r="B119" s="6" t="s">
        <v>31</v>
      </c>
      <c r="C119" s="5">
        <f>1.929*1.654*5/3</f>
        <v>5.3176100000000002</v>
      </c>
      <c r="D119" s="4">
        <f t="shared" ref="D119:D125" si="82">IF(M119&gt;=(K119-L119),0,J119)</f>
        <v>0</v>
      </c>
      <c r="E119" s="15">
        <f t="shared" si="81"/>
        <v>0</v>
      </c>
      <c r="F119" s="44"/>
      <c r="G119" s="12">
        <f>ROUNDUP($D$1*1,0)</f>
        <v>6</v>
      </c>
      <c r="H119" s="12"/>
      <c r="I119" s="12"/>
      <c r="J119" s="12">
        <v>0</v>
      </c>
      <c r="K119" s="4">
        <f t="shared" ref="K119:K127" si="83">L119+J119</f>
        <v>0</v>
      </c>
      <c r="L119" s="4">
        <v>0</v>
      </c>
      <c r="M119" s="4">
        <v>0</v>
      </c>
    </row>
    <row r="120" spans="1:15" x14ac:dyDescent="0.25">
      <c r="A120" s="4" t="s">
        <v>79</v>
      </c>
      <c r="B120" s="6" t="s">
        <v>31</v>
      </c>
      <c r="C120" s="5">
        <f>1.29*3.42*5/3</f>
        <v>7.3530000000000006</v>
      </c>
      <c r="D120" s="4">
        <f t="shared" si="82"/>
        <v>0</v>
      </c>
      <c r="E120" s="15">
        <f t="shared" si="81"/>
        <v>0</v>
      </c>
      <c r="F120" s="44"/>
      <c r="G120" s="12">
        <f>ROUNDUP($D$1*0,0)</f>
        <v>0</v>
      </c>
      <c r="H120" s="12"/>
      <c r="I120" s="12"/>
      <c r="J120" s="12">
        <v>0</v>
      </c>
      <c r="K120" s="4">
        <f t="shared" si="83"/>
        <v>0</v>
      </c>
      <c r="L120" s="4">
        <v>0</v>
      </c>
      <c r="M120" s="4">
        <v>0</v>
      </c>
    </row>
    <row r="121" spans="1:15" x14ac:dyDescent="0.25">
      <c r="A121" s="4" t="s">
        <v>324</v>
      </c>
      <c r="B121" s="6" t="s">
        <v>31</v>
      </c>
      <c r="C121" s="5">
        <f>1.95*2.3*5/3</f>
        <v>7.4749999999999988</v>
      </c>
      <c r="D121" s="4">
        <f t="shared" si="82"/>
        <v>3</v>
      </c>
      <c r="E121" s="15">
        <f t="shared" si="81"/>
        <v>22.424999999999997</v>
      </c>
      <c r="F121" s="44"/>
      <c r="G121" s="12">
        <f>ROUNDUP($D$1*0,0)</f>
        <v>0</v>
      </c>
      <c r="H121" s="12"/>
      <c r="I121" s="12"/>
      <c r="J121" s="12">
        <v>3</v>
      </c>
      <c r="K121" s="4">
        <f t="shared" si="83"/>
        <v>3</v>
      </c>
      <c r="L121" s="4">
        <v>0</v>
      </c>
      <c r="M121" s="4">
        <v>0</v>
      </c>
    </row>
    <row r="122" spans="1:15" x14ac:dyDescent="0.25">
      <c r="A122" s="4" t="s">
        <v>5</v>
      </c>
      <c r="B122" s="6" t="s">
        <v>33</v>
      </c>
      <c r="C122" s="5">
        <v>19.8</v>
      </c>
      <c r="D122" s="4">
        <f t="shared" si="82"/>
        <v>3</v>
      </c>
      <c r="E122" s="15">
        <f t="shared" si="81"/>
        <v>59.400000000000006</v>
      </c>
      <c r="F122" s="44"/>
      <c r="G122" s="12">
        <f t="shared" ref="G122:G127" si="84">ROUNDUP($D$1*1,0)</f>
        <v>6</v>
      </c>
      <c r="H122" s="12"/>
      <c r="I122" s="12"/>
      <c r="J122" s="12">
        <v>3</v>
      </c>
      <c r="K122" s="4">
        <f t="shared" si="83"/>
        <v>3</v>
      </c>
      <c r="L122" s="4">
        <v>0</v>
      </c>
      <c r="M122" s="4">
        <v>0</v>
      </c>
      <c r="N122" s="1" t="s">
        <v>32</v>
      </c>
      <c r="O122" s="2">
        <v>19.95</v>
      </c>
    </row>
    <row r="123" spans="1:15" x14ac:dyDescent="0.25">
      <c r="A123" s="4" t="s">
        <v>6</v>
      </c>
      <c r="B123" s="6" t="s">
        <v>33</v>
      </c>
      <c r="C123" s="5">
        <v>6</v>
      </c>
      <c r="D123" s="4">
        <f t="shared" si="82"/>
        <v>3</v>
      </c>
      <c r="E123" s="15">
        <f t="shared" si="81"/>
        <v>18</v>
      </c>
      <c r="F123" s="44"/>
      <c r="G123" s="12">
        <f t="shared" si="84"/>
        <v>6</v>
      </c>
      <c r="H123" s="12"/>
      <c r="I123" s="12"/>
      <c r="J123" s="12">
        <v>3</v>
      </c>
      <c r="K123" s="4">
        <f t="shared" si="83"/>
        <v>3</v>
      </c>
      <c r="L123" s="4">
        <v>0</v>
      </c>
      <c r="M123" s="4">
        <v>0</v>
      </c>
    </row>
    <row r="124" spans="1:15" x14ac:dyDescent="0.25">
      <c r="A124" s="4" t="s">
        <v>7</v>
      </c>
      <c r="B124" s="6" t="s">
        <v>35</v>
      </c>
      <c r="C124" s="5">
        <v>20.79</v>
      </c>
      <c r="D124" s="4">
        <f t="shared" si="82"/>
        <v>3</v>
      </c>
      <c r="E124" s="15">
        <f t="shared" si="81"/>
        <v>62.37</v>
      </c>
      <c r="F124" s="44"/>
      <c r="G124" s="12">
        <f t="shared" si="84"/>
        <v>6</v>
      </c>
      <c r="H124" s="12"/>
      <c r="I124" s="12"/>
      <c r="J124" s="12">
        <v>3</v>
      </c>
      <c r="K124" s="4">
        <f t="shared" si="83"/>
        <v>3</v>
      </c>
      <c r="L124" s="4">
        <v>0</v>
      </c>
      <c r="M124" s="4">
        <v>0</v>
      </c>
    </row>
    <row r="125" spans="1:15" x14ac:dyDescent="0.25">
      <c r="A125" s="4" t="s">
        <v>37</v>
      </c>
      <c r="B125" s="6" t="s">
        <v>36</v>
      </c>
      <c r="C125" s="5">
        <v>0.6</v>
      </c>
      <c r="D125" s="4">
        <f t="shared" si="82"/>
        <v>3</v>
      </c>
      <c r="E125" s="15">
        <f t="shared" si="81"/>
        <v>1.7999999999999998</v>
      </c>
      <c r="F125" s="44"/>
      <c r="G125" s="12">
        <f t="shared" si="84"/>
        <v>6</v>
      </c>
      <c r="H125" s="12"/>
      <c r="I125" s="12"/>
      <c r="J125" s="12">
        <v>3</v>
      </c>
      <c r="K125" s="4">
        <f t="shared" si="83"/>
        <v>3</v>
      </c>
      <c r="L125" s="4">
        <v>0</v>
      </c>
      <c r="M125" s="4">
        <v>0</v>
      </c>
    </row>
    <row r="126" spans="1:15" x14ac:dyDescent="0.25">
      <c r="A126" s="4" t="s">
        <v>9</v>
      </c>
      <c r="B126" s="6" t="s">
        <v>36</v>
      </c>
      <c r="C126" s="5">
        <v>0.28000000000000003</v>
      </c>
      <c r="D126" s="4">
        <f t="shared" ref="D126:D133" si="85">IF(M126&gt;=(K126-L126),0,J126)</f>
        <v>3</v>
      </c>
      <c r="E126" s="15">
        <f t="shared" ref="E126:E133" si="86">D126*C126</f>
        <v>0.84000000000000008</v>
      </c>
      <c r="F126" s="44"/>
      <c r="G126" s="12">
        <f t="shared" si="84"/>
        <v>6</v>
      </c>
      <c r="H126" s="12"/>
      <c r="I126" s="12"/>
      <c r="J126" s="12">
        <v>3</v>
      </c>
      <c r="K126" s="4">
        <f t="shared" si="83"/>
        <v>3</v>
      </c>
      <c r="L126" s="4">
        <v>0</v>
      </c>
      <c r="M126" s="4">
        <v>0</v>
      </c>
    </row>
    <row r="127" spans="1:15" x14ac:dyDescent="0.25">
      <c r="A127" s="4" t="s">
        <v>68</v>
      </c>
      <c r="B127" s="6" t="s">
        <v>36</v>
      </c>
      <c r="C127" s="5">
        <v>0.88</v>
      </c>
      <c r="D127" s="4">
        <f>IF(M127&gt;=(K127-L127),0,J127)</f>
        <v>3</v>
      </c>
      <c r="E127" s="15">
        <f>D127*C127</f>
        <v>2.64</v>
      </c>
      <c r="F127" s="44"/>
      <c r="G127" s="12">
        <f t="shared" si="84"/>
        <v>6</v>
      </c>
      <c r="H127" s="12"/>
      <c r="I127" s="12"/>
      <c r="J127" s="12">
        <v>3</v>
      </c>
      <c r="K127" s="4">
        <f t="shared" si="83"/>
        <v>3</v>
      </c>
      <c r="L127" s="4">
        <v>0</v>
      </c>
      <c r="M127" s="4">
        <v>0</v>
      </c>
    </row>
    <row r="128" spans="1:15" x14ac:dyDescent="0.25">
      <c r="A128" s="4" t="s">
        <v>13</v>
      </c>
      <c r="B128" s="6" t="s">
        <v>36</v>
      </c>
      <c r="C128" s="5">
        <v>0.62</v>
      </c>
      <c r="D128" s="4">
        <f t="shared" si="85"/>
        <v>0</v>
      </c>
      <c r="E128" s="15">
        <f>D128*C128</f>
        <v>0</v>
      </c>
      <c r="F128" s="44"/>
      <c r="G128" s="12">
        <f>ROUNDUP($D$1*0,0)</f>
        <v>0</v>
      </c>
      <c r="H128" s="12"/>
      <c r="I128" s="12"/>
      <c r="J128" s="12">
        <v>0</v>
      </c>
      <c r="K128" s="4">
        <f t="shared" ref="K128:K133" si="87">L128+J128</f>
        <v>6</v>
      </c>
      <c r="L128" s="4">
        <v>6</v>
      </c>
      <c r="M128" s="4">
        <v>0</v>
      </c>
    </row>
    <row r="129" spans="1:15" x14ac:dyDescent="0.25">
      <c r="A129" s="4" t="s">
        <v>11</v>
      </c>
      <c r="B129" s="6" t="s">
        <v>36</v>
      </c>
      <c r="C129" s="5">
        <v>0.65</v>
      </c>
      <c r="D129" s="4">
        <f t="shared" si="85"/>
        <v>3</v>
      </c>
      <c r="E129" s="15">
        <f t="shared" si="86"/>
        <v>1.9500000000000002</v>
      </c>
      <c r="F129" s="44"/>
      <c r="G129" s="12">
        <f>ROUNDUP($D$1*1,0)</f>
        <v>6</v>
      </c>
      <c r="H129" s="12"/>
      <c r="I129" s="12"/>
      <c r="J129" s="12">
        <v>3</v>
      </c>
      <c r="K129" s="4">
        <f t="shared" si="87"/>
        <v>3</v>
      </c>
      <c r="L129" s="4">
        <v>0</v>
      </c>
      <c r="M129" s="4">
        <v>0</v>
      </c>
    </row>
    <row r="130" spans="1:15" x14ac:dyDescent="0.25">
      <c r="A130" s="4" t="s">
        <v>12</v>
      </c>
      <c r="B130" s="6" t="s">
        <v>36</v>
      </c>
      <c r="C130" s="5">
        <v>0.7</v>
      </c>
      <c r="D130" s="4">
        <f t="shared" si="85"/>
        <v>6</v>
      </c>
      <c r="E130" s="15">
        <f t="shared" si="86"/>
        <v>4.1999999999999993</v>
      </c>
      <c r="F130" s="44"/>
      <c r="G130" s="12">
        <f>ROUNDUP($D$1*2,0)</f>
        <v>12</v>
      </c>
      <c r="H130" s="12"/>
      <c r="I130" s="12"/>
      <c r="J130" s="12">
        <v>6</v>
      </c>
      <c r="K130" s="4">
        <f t="shared" si="87"/>
        <v>6</v>
      </c>
      <c r="L130" s="4">
        <v>0</v>
      </c>
      <c r="M130" s="4">
        <v>0</v>
      </c>
    </row>
    <row r="131" spans="1:15" x14ac:dyDescent="0.25">
      <c r="A131" s="4" t="s">
        <v>10</v>
      </c>
      <c r="B131" s="6" t="s">
        <v>36</v>
      </c>
      <c r="C131" s="5">
        <v>0.98</v>
      </c>
      <c r="D131" s="4">
        <f t="shared" si="85"/>
        <v>12</v>
      </c>
      <c r="E131" s="15">
        <f>D131*C131</f>
        <v>11.76</v>
      </c>
      <c r="F131" s="44"/>
      <c r="G131" s="12">
        <f>ROUNDUP($D$1*4,0)</f>
        <v>24</v>
      </c>
      <c r="H131" s="12"/>
      <c r="I131" s="12"/>
      <c r="J131" s="12">
        <v>12</v>
      </c>
      <c r="K131" s="4">
        <f t="shared" si="87"/>
        <v>12</v>
      </c>
      <c r="L131" s="4">
        <v>0</v>
      </c>
      <c r="M131" s="4">
        <v>0</v>
      </c>
    </row>
    <row r="132" spans="1:15" x14ac:dyDescent="0.25">
      <c r="A132" s="4" t="s">
        <v>14</v>
      </c>
      <c r="B132" s="6" t="s">
        <v>36</v>
      </c>
      <c r="C132" s="5">
        <v>0.74</v>
      </c>
      <c r="D132" s="4">
        <f t="shared" si="85"/>
        <v>0</v>
      </c>
      <c r="E132" s="15">
        <f t="shared" si="86"/>
        <v>0</v>
      </c>
      <c r="F132" s="44"/>
      <c r="G132" s="12">
        <f>ROUNDUP($D$1*5/40,0)</f>
        <v>1</v>
      </c>
      <c r="H132" s="12"/>
      <c r="I132" s="12"/>
      <c r="J132" s="12">
        <v>0</v>
      </c>
      <c r="K132" s="4">
        <f t="shared" si="87"/>
        <v>21.875</v>
      </c>
      <c r="L132" s="4">
        <f>21+35/40</f>
        <v>21.875</v>
      </c>
      <c r="M132" s="4">
        <v>0</v>
      </c>
    </row>
    <row r="133" spans="1:15" x14ac:dyDescent="0.25">
      <c r="A133" s="4" t="s">
        <v>15</v>
      </c>
      <c r="B133" s="6" t="s">
        <v>36</v>
      </c>
      <c r="C133" s="5">
        <v>0.99</v>
      </c>
      <c r="D133" s="4">
        <f t="shared" si="85"/>
        <v>1</v>
      </c>
      <c r="E133" s="15">
        <f t="shared" si="86"/>
        <v>0.99</v>
      </c>
      <c r="F133" s="44"/>
      <c r="G133" s="12">
        <f>ROUNDUP($D$1*28/40,0)</f>
        <v>5</v>
      </c>
      <c r="H133" s="12"/>
      <c r="I133" s="12"/>
      <c r="J133" s="12">
        <v>1</v>
      </c>
      <c r="K133" s="4">
        <f t="shared" si="87"/>
        <v>3.1749999999999998</v>
      </c>
      <c r="L133" s="4">
        <f>2+7/40</f>
        <v>2.1749999999999998</v>
      </c>
      <c r="M133" s="4">
        <v>0</v>
      </c>
      <c r="O133">
        <f>120-28*2</f>
        <v>64</v>
      </c>
    </row>
    <row r="134" spans="1:15" x14ac:dyDescent="0.25">
      <c r="A134" s="19" t="s">
        <v>57</v>
      </c>
      <c r="B134" s="6" t="s">
        <v>36</v>
      </c>
      <c r="C134" s="5">
        <v>0.1</v>
      </c>
      <c r="D134" s="4">
        <f t="shared" ref="D134:D139" si="88">IF(M134&gt;=(K134-L134),0,J134)</f>
        <v>0</v>
      </c>
      <c r="E134" s="15">
        <f t="shared" ref="E134:E139" si="89">D134*C134</f>
        <v>0</v>
      </c>
      <c r="F134" s="44"/>
      <c r="G134" s="12">
        <f t="shared" ref="G134:G144" si="90">ROUNDUP($D$1*0,0)</f>
        <v>0</v>
      </c>
      <c r="H134" s="12"/>
      <c r="I134" s="12"/>
      <c r="J134" s="12">
        <v>0</v>
      </c>
      <c r="K134" s="4">
        <f t="shared" ref="K134:K139" si="91">L134+J134</f>
        <v>0</v>
      </c>
      <c r="L134" s="4">
        <v>0</v>
      </c>
      <c r="M134" s="4">
        <v>0</v>
      </c>
    </row>
    <row r="135" spans="1:15" x14ac:dyDescent="0.25">
      <c r="A135" s="19" t="s">
        <v>56</v>
      </c>
      <c r="B135" s="6" t="s">
        <v>36</v>
      </c>
      <c r="C135" s="5">
        <v>0.1</v>
      </c>
      <c r="D135" s="4">
        <f t="shared" si="88"/>
        <v>0</v>
      </c>
      <c r="E135" s="15">
        <f t="shared" si="89"/>
        <v>0</v>
      </c>
      <c r="F135" s="44"/>
      <c r="G135" s="12">
        <f t="shared" si="90"/>
        <v>0</v>
      </c>
      <c r="H135" s="12"/>
      <c r="I135" s="12"/>
      <c r="J135" s="12">
        <v>0</v>
      </c>
      <c r="K135" s="4">
        <f t="shared" si="91"/>
        <v>0</v>
      </c>
      <c r="L135" s="4">
        <v>0</v>
      </c>
      <c r="M135" s="4">
        <v>0</v>
      </c>
      <c r="N135" s="24">
        <v>10</v>
      </c>
    </row>
    <row r="136" spans="1:15" x14ac:dyDescent="0.25">
      <c r="A136" s="19" t="s">
        <v>53</v>
      </c>
      <c r="B136" s="6" t="s">
        <v>36</v>
      </c>
      <c r="C136" s="5">
        <v>0.1</v>
      </c>
      <c r="D136" s="4">
        <f t="shared" si="88"/>
        <v>0</v>
      </c>
      <c r="E136" s="15">
        <f t="shared" si="89"/>
        <v>0</v>
      </c>
      <c r="F136" s="44"/>
      <c r="G136" s="12">
        <f t="shared" si="90"/>
        <v>0</v>
      </c>
      <c r="H136" s="12"/>
      <c r="I136" s="12"/>
      <c r="J136" s="12">
        <v>0</v>
      </c>
      <c r="K136" s="4">
        <f t="shared" si="91"/>
        <v>0</v>
      </c>
      <c r="L136" s="4">
        <v>0</v>
      </c>
      <c r="M136" s="4">
        <v>0</v>
      </c>
      <c r="N136" s="24">
        <v>10</v>
      </c>
    </row>
    <row r="137" spans="1:15" x14ac:dyDescent="0.25">
      <c r="A137" s="4" t="s">
        <v>83</v>
      </c>
      <c r="B137" s="6" t="s">
        <v>36</v>
      </c>
      <c r="C137" s="5">
        <v>0.1</v>
      </c>
      <c r="D137" s="4">
        <f t="shared" si="88"/>
        <v>0</v>
      </c>
      <c r="E137" s="15">
        <f t="shared" si="89"/>
        <v>0</v>
      </c>
      <c r="F137" s="44"/>
      <c r="G137" s="12">
        <f t="shared" si="90"/>
        <v>0</v>
      </c>
      <c r="H137" s="12"/>
      <c r="I137" s="12"/>
      <c r="J137" s="12">
        <v>0</v>
      </c>
      <c r="K137" s="4">
        <f t="shared" si="91"/>
        <v>0</v>
      </c>
      <c r="L137" s="4">
        <v>0</v>
      </c>
      <c r="M137" s="4">
        <v>0</v>
      </c>
      <c r="N137" s="24">
        <v>10</v>
      </c>
    </row>
    <row r="138" spans="1:15" x14ac:dyDescent="0.25">
      <c r="A138" s="19" t="s">
        <v>55</v>
      </c>
      <c r="B138" s="6" t="s">
        <v>36</v>
      </c>
      <c r="C138" s="5">
        <v>0.1</v>
      </c>
      <c r="D138" s="4">
        <f t="shared" si="88"/>
        <v>0</v>
      </c>
      <c r="E138" s="15">
        <f t="shared" si="89"/>
        <v>0</v>
      </c>
      <c r="F138" s="44"/>
      <c r="G138" s="12">
        <f t="shared" si="90"/>
        <v>0</v>
      </c>
      <c r="H138" s="12"/>
      <c r="I138" s="12"/>
      <c r="J138" s="12">
        <v>0</v>
      </c>
      <c r="K138" s="4">
        <f t="shared" si="91"/>
        <v>0</v>
      </c>
      <c r="L138" s="4">
        <v>0</v>
      </c>
      <c r="M138" s="4">
        <v>0</v>
      </c>
      <c r="N138" s="24">
        <v>10</v>
      </c>
    </row>
    <row r="139" spans="1:15" x14ac:dyDescent="0.25">
      <c r="A139" s="19" t="s">
        <v>54</v>
      </c>
      <c r="B139" s="6" t="s">
        <v>36</v>
      </c>
      <c r="C139" s="5">
        <v>0.1</v>
      </c>
      <c r="D139" s="4">
        <f t="shared" si="88"/>
        <v>0</v>
      </c>
      <c r="E139" s="15">
        <f t="shared" si="89"/>
        <v>0</v>
      </c>
      <c r="F139" s="44"/>
      <c r="G139" s="12">
        <f t="shared" si="90"/>
        <v>0</v>
      </c>
      <c r="H139" s="12"/>
      <c r="I139" s="12"/>
      <c r="J139" s="12">
        <v>0</v>
      </c>
      <c r="K139" s="4">
        <f t="shared" si="91"/>
        <v>0</v>
      </c>
      <c r="L139" s="4">
        <v>0</v>
      </c>
      <c r="M139" s="4">
        <v>0</v>
      </c>
      <c r="N139" s="24">
        <v>10</v>
      </c>
    </row>
    <row r="140" spans="1:15" x14ac:dyDescent="0.25">
      <c r="A140" s="19" t="s">
        <v>52</v>
      </c>
      <c r="B140" s="6" t="s">
        <v>36</v>
      </c>
      <c r="C140" s="5">
        <v>0.1</v>
      </c>
      <c r="D140" s="4">
        <f t="shared" ref="D140:D155" si="92">IF(M140&gt;=(K140-L140),0,J140)</f>
        <v>0</v>
      </c>
      <c r="E140" s="15">
        <f t="shared" ref="E140:E145" si="93">D140*C140</f>
        <v>0</v>
      </c>
      <c r="F140" s="44"/>
      <c r="G140" s="12">
        <f t="shared" si="90"/>
        <v>0</v>
      </c>
      <c r="H140" s="12"/>
      <c r="I140" s="12"/>
      <c r="J140" s="12">
        <v>0</v>
      </c>
      <c r="K140" s="4">
        <f t="shared" ref="K140:K155" si="94">L140+J140</f>
        <v>0</v>
      </c>
      <c r="L140" s="4">
        <v>0</v>
      </c>
      <c r="M140" s="4">
        <v>0</v>
      </c>
    </row>
    <row r="141" spans="1:15" x14ac:dyDescent="0.25">
      <c r="A141" s="4" t="s">
        <v>18</v>
      </c>
      <c r="B141" s="6" t="s">
        <v>36</v>
      </c>
      <c r="C141" s="5">
        <v>0.3</v>
      </c>
      <c r="D141" s="4">
        <f t="shared" si="92"/>
        <v>0</v>
      </c>
      <c r="E141" s="15">
        <f t="shared" si="93"/>
        <v>0</v>
      </c>
      <c r="F141" s="44"/>
      <c r="G141" s="12">
        <f t="shared" si="90"/>
        <v>0</v>
      </c>
      <c r="H141" s="12"/>
      <c r="I141" s="12"/>
      <c r="J141" s="12">
        <v>0</v>
      </c>
      <c r="K141" s="4">
        <f t="shared" si="94"/>
        <v>0</v>
      </c>
      <c r="L141" s="4">
        <v>0</v>
      </c>
      <c r="M141" s="4">
        <v>0</v>
      </c>
    </row>
    <row r="142" spans="1:15" x14ac:dyDescent="0.25">
      <c r="A142" s="4" t="s">
        <v>19</v>
      </c>
      <c r="B142" s="6" t="s">
        <v>36</v>
      </c>
      <c r="C142" s="5">
        <v>0.3</v>
      </c>
      <c r="D142" s="4">
        <f t="shared" si="92"/>
        <v>0</v>
      </c>
      <c r="E142" s="15">
        <f t="shared" si="93"/>
        <v>0</v>
      </c>
      <c r="F142" s="44"/>
      <c r="G142" s="12">
        <f t="shared" si="90"/>
        <v>0</v>
      </c>
      <c r="H142" s="12"/>
      <c r="I142" s="12"/>
      <c r="J142" s="12">
        <v>0</v>
      </c>
      <c r="K142" s="4">
        <f t="shared" si="94"/>
        <v>0</v>
      </c>
      <c r="L142" s="4">
        <v>0</v>
      </c>
      <c r="M142" s="4">
        <v>0</v>
      </c>
    </row>
    <row r="143" spans="1:15" x14ac:dyDescent="0.25">
      <c r="A143" s="4" t="s">
        <v>20</v>
      </c>
      <c r="B143" s="6" t="s">
        <v>36</v>
      </c>
      <c r="C143" s="5">
        <v>0.28999999999999998</v>
      </c>
      <c r="D143" s="4">
        <f t="shared" si="92"/>
        <v>0</v>
      </c>
      <c r="E143" s="15">
        <f t="shared" si="93"/>
        <v>0</v>
      </c>
      <c r="F143" s="44"/>
      <c r="G143" s="12">
        <f t="shared" si="90"/>
        <v>0</v>
      </c>
      <c r="H143" s="12"/>
      <c r="I143" s="12"/>
      <c r="J143" s="12">
        <v>0</v>
      </c>
      <c r="K143" s="4">
        <f t="shared" si="94"/>
        <v>0</v>
      </c>
      <c r="L143" s="4">
        <v>0</v>
      </c>
      <c r="M143" s="4">
        <v>0</v>
      </c>
    </row>
    <row r="144" spans="1:15" x14ac:dyDescent="0.25">
      <c r="A144" s="4" t="s">
        <v>313</v>
      </c>
      <c r="B144" s="6" t="s">
        <v>36</v>
      </c>
      <c r="C144" s="5">
        <v>2.42</v>
      </c>
      <c r="D144" s="4">
        <f t="shared" si="92"/>
        <v>0</v>
      </c>
      <c r="E144" s="15">
        <f t="shared" si="93"/>
        <v>0</v>
      </c>
      <c r="F144" s="44"/>
      <c r="G144" s="12">
        <f t="shared" si="90"/>
        <v>0</v>
      </c>
      <c r="H144" s="12"/>
      <c r="I144" s="12"/>
      <c r="J144" s="12">
        <v>0</v>
      </c>
      <c r="K144" s="4">
        <f t="shared" si="94"/>
        <v>0</v>
      </c>
      <c r="L144" s="4">
        <v>0</v>
      </c>
      <c r="M144" s="4">
        <v>0</v>
      </c>
      <c r="N144" s="17"/>
    </row>
    <row r="145" spans="1:14" x14ac:dyDescent="0.25">
      <c r="A145" s="4" t="s">
        <v>311</v>
      </c>
      <c r="B145" s="6" t="s">
        <v>36</v>
      </c>
      <c r="C145" s="5">
        <v>2.73</v>
      </c>
      <c r="D145" s="4">
        <f t="shared" si="92"/>
        <v>6</v>
      </c>
      <c r="E145" s="15">
        <f t="shared" si="93"/>
        <v>16.38</v>
      </c>
      <c r="F145" s="44"/>
      <c r="G145" s="12">
        <f>ROUNDUP($D$1*2,0)</f>
        <v>12</v>
      </c>
      <c r="H145" s="12"/>
      <c r="I145" s="12"/>
      <c r="J145" s="12">
        <v>6</v>
      </c>
      <c r="K145" s="4">
        <f t="shared" si="94"/>
        <v>6</v>
      </c>
      <c r="L145" s="4">
        <v>0</v>
      </c>
      <c r="M145" s="4">
        <v>0</v>
      </c>
    </row>
    <row r="146" spans="1:14" x14ac:dyDescent="0.25">
      <c r="A146" s="4" t="s">
        <v>130</v>
      </c>
      <c r="B146" s="6" t="s">
        <v>36</v>
      </c>
      <c r="C146" s="5">
        <v>2.84</v>
      </c>
      <c r="D146" s="4">
        <f t="shared" si="92"/>
        <v>3</v>
      </c>
      <c r="E146" s="15">
        <f t="shared" ref="E146" si="95">D146*C146</f>
        <v>8.52</v>
      </c>
      <c r="F146" s="44"/>
      <c r="G146" s="12">
        <f>ROUNDUP($D$1*1,0)</f>
        <v>6</v>
      </c>
      <c r="H146" s="12"/>
      <c r="I146" s="12"/>
      <c r="J146" s="12">
        <v>3</v>
      </c>
      <c r="K146" s="4">
        <f t="shared" si="94"/>
        <v>3</v>
      </c>
      <c r="L146" s="4">
        <v>0</v>
      </c>
      <c r="M146" s="4">
        <v>0</v>
      </c>
    </row>
    <row r="147" spans="1:14" x14ac:dyDescent="0.25">
      <c r="A147" s="4" t="s">
        <v>75</v>
      </c>
      <c r="B147" s="6" t="s">
        <v>36</v>
      </c>
      <c r="C147" s="5">
        <v>5.5</v>
      </c>
      <c r="D147" s="4">
        <f t="shared" si="92"/>
        <v>3</v>
      </c>
      <c r="E147" s="15">
        <f>D147*C147</f>
        <v>16.5</v>
      </c>
      <c r="F147" s="44"/>
      <c r="G147" s="12">
        <f>ROUNDUP($D$1*1,0)</f>
        <v>6</v>
      </c>
      <c r="H147" s="12"/>
      <c r="I147" s="12"/>
      <c r="J147" s="12">
        <v>3</v>
      </c>
      <c r="K147" s="4">
        <f t="shared" si="94"/>
        <v>3</v>
      </c>
      <c r="L147" s="4">
        <v>0</v>
      </c>
      <c r="M147" s="4">
        <v>0</v>
      </c>
    </row>
    <row r="148" spans="1:14" x14ac:dyDescent="0.25">
      <c r="A148" s="4" t="s">
        <v>80</v>
      </c>
      <c r="B148" s="6" t="s">
        <v>36</v>
      </c>
      <c r="C148" s="5">
        <v>1.1000000000000001</v>
      </c>
      <c r="D148" s="4">
        <f t="shared" si="92"/>
        <v>3</v>
      </c>
      <c r="E148" s="15">
        <f t="shared" ref="E148" si="96">D148*C148</f>
        <v>3.3000000000000003</v>
      </c>
      <c r="F148" s="44"/>
      <c r="G148" s="12">
        <f>ROUNDUP($D$1*1,0)</f>
        <v>6</v>
      </c>
      <c r="H148" s="12"/>
      <c r="I148" s="12"/>
      <c r="J148" s="12">
        <v>3</v>
      </c>
      <c r="K148" s="4">
        <f t="shared" si="94"/>
        <v>3</v>
      </c>
      <c r="L148" s="4">
        <v>0</v>
      </c>
      <c r="M148" s="4">
        <v>0</v>
      </c>
    </row>
    <row r="149" spans="1:14" x14ac:dyDescent="0.25">
      <c r="A149" s="4" t="s">
        <v>76</v>
      </c>
      <c r="B149" s="6" t="s">
        <v>36</v>
      </c>
      <c r="C149" s="5">
        <v>4.5</v>
      </c>
      <c r="D149" s="4">
        <f t="shared" si="92"/>
        <v>0</v>
      </c>
      <c r="E149" s="15">
        <f t="shared" ref="E149:E154" si="97">D149*C149</f>
        <v>0</v>
      </c>
      <c r="F149" s="44"/>
      <c r="G149" s="12">
        <f>ROUNDUP($D$1*0,0)</f>
        <v>0</v>
      </c>
      <c r="H149" s="12"/>
      <c r="I149" s="12"/>
      <c r="J149" s="12">
        <v>0</v>
      </c>
      <c r="K149" s="4">
        <f t="shared" si="94"/>
        <v>0</v>
      </c>
      <c r="L149" s="4">
        <v>0</v>
      </c>
      <c r="M149" s="4">
        <v>0</v>
      </c>
    </row>
    <row r="150" spans="1:14" x14ac:dyDescent="0.25">
      <c r="A150" s="4" t="s">
        <v>129</v>
      </c>
      <c r="B150" s="6" t="s">
        <v>36</v>
      </c>
      <c r="C150" s="5">
        <v>0.75</v>
      </c>
      <c r="D150" s="4">
        <f t="shared" si="92"/>
        <v>6</v>
      </c>
      <c r="E150" s="15">
        <f t="shared" si="97"/>
        <v>4.5</v>
      </c>
      <c r="F150" s="44"/>
      <c r="G150" s="12">
        <f>ROUNDUP($D$1*1,0)</f>
        <v>6</v>
      </c>
      <c r="H150" s="12"/>
      <c r="I150" s="12"/>
      <c r="J150" s="12">
        <v>6</v>
      </c>
      <c r="K150" s="4">
        <f t="shared" si="94"/>
        <v>6</v>
      </c>
      <c r="L150" s="4">
        <v>0</v>
      </c>
      <c r="M150" s="4">
        <v>0</v>
      </c>
    </row>
    <row r="151" spans="1:14" x14ac:dyDescent="0.25">
      <c r="A151" s="36" t="s">
        <v>326</v>
      </c>
      <c r="B151" s="6" t="s">
        <v>36</v>
      </c>
      <c r="C151" s="5">
        <v>3.5</v>
      </c>
      <c r="D151" s="4">
        <f t="shared" si="92"/>
        <v>3</v>
      </c>
      <c r="E151" s="15">
        <f t="shared" si="97"/>
        <v>10.5</v>
      </c>
      <c r="F151" s="44"/>
      <c r="G151" s="12">
        <f>ROUNDUP($D$1*0,0)</f>
        <v>0</v>
      </c>
      <c r="H151" s="12"/>
      <c r="I151" s="12"/>
      <c r="J151" s="12">
        <v>3</v>
      </c>
      <c r="K151" s="4">
        <f t="shared" si="94"/>
        <v>3</v>
      </c>
      <c r="L151" s="4">
        <v>0</v>
      </c>
      <c r="M151" s="4">
        <v>0</v>
      </c>
    </row>
    <row r="152" spans="1:14" x14ac:dyDescent="0.25">
      <c r="A152" s="37" t="s">
        <v>318</v>
      </c>
      <c r="B152" s="6" t="s">
        <v>36</v>
      </c>
      <c r="C152" s="5">
        <v>0.39</v>
      </c>
      <c r="D152" s="4">
        <f t="shared" si="92"/>
        <v>3</v>
      </c>
      <c r="E152" s="15">
        <f t="shared" si="97"/>
        <v>1.17</v>
      </c>
      <c r="F152" s="12">
        <v>0</v>
      </c>
      <c r="G152" s="12">
        <f>ROUNDUP($D$1*F152,0)</f>
        <v>0</v>
      </c>
      <c r="H152" s="12">
        <v>0</v>
      </c>
      <c r="I152" s="12">
        <f>ROUNDUP($D$1*H152,0)</f>
        <v>0</v>
      </c>
      <c r="J152" s="12">
        <v>3</v>
      </c>
      <c r="K152" s="4">
        <f t="shared" si="94"/>
        <v>3</v>
      </c>
      <c r="L152" s="4">
        <v>0</v>
      </c>
      <c r="M152" s="4">
        <v>0</v>
      </c>
    </row>
    <row r="153" spans="1:14" x14ac:dyDescent="0.25">
      <c r="A153" s="4" t="s">
        <v>45</v>
      </c>
      <c r="B153" s="6" t="s">
        <v>36</v>
      </c>
      <c r="C153" s="5">
        <v>0.86</v>
      </c>
      <c r="D153" s="4">
        <f t="shared" si="92"/>
        <v>0</v>
      </c>
      <c r="E153" s="15">
        <f t="shared" si="97"/>
        <v>0</v>
      </c>
      <c r="F153" s="12">
        <v>0</v>
      </c>
      <c r="G153" s="12">
        <f>ROUNDUP($D$1*F153,0)</f>
        <v>0</v>
      </c>
      <c r="H153" s="12">
        <v>0</v>
      </c>
      <c r="I153" s="12">
        <f>ROUNDUP($D$1*H153,0)</f>
        <v>0</v>
      </c>
      <c r="J153" s="12">
        <v>0</v>
      </c>
      <c r="K153" s="4">
        <f t="shared" si="94"/>
        <v>0</v>
      </c>
      <c r="L153" s="4">
        <v>0</v>
      </c>
      <c r="M153" s="4">
        <v>0</v>
      </c>
    </row>
    <row r="154" spans="1:14" x14ac:dyDescent="0.25">
      <c r="A154" s="37" t="s">
        <v>321</v>
      </c>
      <c r="B154" s="6" t="s">
        <v>36</v>
      </c>
      <c r="C154" s="5">
        <v>0.11</v>
      </c>
      <c r="D154" s="4">
        <f t="shared" si="92"/>
        <v>0</v>
      </c>
      <c r="E154" s="15">
        <f t="shared" si="97"/>
        <v>0</v>
      </c>
      <c r="F154" s="12">
        <v>0</v>
      </c>
      <c r="G154" s="12">
        <f>ROUNDUP($D$1*F154,0)</f>
        <v>0</v>
      </c>
      <c r="H154" s="12">
        <v>0</v>
      </c>
      <c r="I154" s="12">
        <f>ROUNDUP($D$1*H154,0)</f>
        <v>0</v>
      </c>
      <c r="J154" s="12">
        <v>0</v>
      </c>
      <c r="K154" s="4">
        <f t="shared" si="94"/>
        <v>0</v>
      </c>
      <c r="L154" s="4">
        <v>0</v>
      </c>
      <c r="M154" s="4">
        <v>0</v>
      </c>
      <c r="N154" s="17"/>
    </row>
    <row r="155" spans="1:14" x14ac:dyDescent="0.25">
      <c r="A155" s="37" t="s">
        <v>322</v>
      </c>
      <c r="B155" s="6" t="s">
        <v>36</v>
      </c>
      <c r="C155" s="5">
        <v>1.4E-2</v>
      </c>
      <c r="D155" s="4">
        <f t="shared" si="92"/>
        <v>0</v>
      </c>
      <c r="E155" s="15">
        <f t="shared" ref="E155" si="98">D155*C155</f>
        <v>0</v>
      </c>
      <c r="F155" s="12">
        <v>0</v>
      </c>
      <c r="G155" s="12">
        <f>ROUNDUP($D$1*F155,0)</f>
        <v>0</v>
      </c>
      <c r="H155" s="12">
        <v>0</v>
      </c>
      <c r="I155" s="12">
        <f>ROUNDUP($D$1*H155,0)</f>
        <v>0</v>
      </c>
      <c r="J155" s="12">
        <v>0</v>
      </c>
      <c r="K155" s="4">
        <f t="shared" si="94"/>
        <v>0</v>
      </c>
      <c r="L155" s="4">
        <v>0</v>
      </c>
      <c r="M155" s="4">
        <v>0</v>
      </c>
      <c r="N155" s="17"/>
    </row>
    <row r="156" spans="1:14" x14ac:dyDescent="0.25">
      <c r="A156" s="4" t="s">
        <v>368</v>
      </c>
      <c r="B156" s="6" t="s">
        <v>36</v>
      </c>
      <c r="C156" s="5">
        <v>2.66</v>
      </c>
      <c r="D156" s="4">
        <v>0</v>
      </c>
      <c r="E156" s="15">
        <f>D156*C156</f>
        <v>0</v>
      </c>
      <c r="F156" s="12">
        <v>0</v>
      </c>
      <c r="G156" s="12">
        <f>ROUNDUP($D$1*F156,0)</f>
        <v>0</v>
      </c>
      <c r="H156" s="12">
        <v>0</v>
      </c>
      <c r="I156" s="12">
        <f>ROUNDUP($D$1*H156,0)</f>
        <v>0</v>
      </c>
      <c r="J156" s="12">
        <v>3</v>
      </c>
      <c r="K156" s="4">
        <f>L156+J156</f>
        <v>3</v>
      </c>
      <c r="L156" s="4">
        <v>0</v>
      </c>
      <c r="M156" s="4">
        <v>0</v>
      </c>
    </row>
  </sheetData>
  <mergeCells count="2">
    <mergeCell ref="F1:G1"/>
    <mergeCell ref="H1:I1"/>
  </mergeCells>
  <conditionalFormatting sqref="J3:J65">
    <cfRule type="expression" dxfId="2" priority="2">
      <formula>IF(AND($I3&lt;&gt;0,$I3&lt;=$K3),TRUE,FALSE)</formula>
    </cfRule>
    <cfRule type="expression" dxfId="1" priority="5">
      <formula>IF($I3&gt;$K3,TRUE,FALSE)</formula>
    </cfRule>
  </conditionalFormatting>
  <conditionalFormatting sqref="D1">
    <cfRule type="expression" dxfId="0" priority="1">
      <formula>IF(MOD($D$1,3)&lt;&gt;0,TRUE,FALSE)</formula>
    </cfRule>
  </conditionalFormatting>
  <hyperlinks>
    <hyperlink ref="N122" r:id="rId1"/>
    <hyperlink ref="B123" r:id="rId2"/>
    <hyperlink ref="B122" r:id="rId3"/>
    <hyperlink ref="B124" r:id="rId4"/>
    <hyperlink ref="B105" r:id="rId5"/>
    <hyperlink ref="B125" r:id="rId6"/>
    <hyperlink ref="B118" r:id="rId7"/>
    <hyperlink ref="B49" r:id="rId8"/>
    <hyperlink ref="B106" r:id="rId9"/>
    <hyperlink ref="B116" r:id="rId10"/>
    <hyperlink ref="B117" r:id="rId11"/>
    <hyperlink ref="B141" r:id="rId12"/>
    <hyperlink ref="B142" r:id="rId13"/>
    <hyperlink ref="B143" r:id="rId14"/>
    <hyperlink ref="B128" r:id="rId15"/>
    <hyperlink ref="B129" r:id="rId16"/>
    <hyperlink ref="B130" r:id="rId17"/>
    <hyperlink ref="B131" r:id="rId18"/>
    <hyperlink ref="B132" r:id="rId19"/>
    <hyperlink ref="B133" r:id="rId20"/>
    <hyperlink ref="B77" r:id="rId21"/>
    <hyperlink ref="B76" r:id="rId22"/>
    <hyperlink ref="B126" r:id="rId23"/>
    <hyperlink ref="B107" r:id="rId24"/>
    <hyperlink ref="B115" r:id="rId25"/>
    <hyperlink ref="B85" r:id="rId26"/>
    <hyperlink ref="B86" r:id="rId27"/>
    <hyperlink ref="B88" r:id="rId28"/>
    <hyperlink ref="B90" r:id="rId29"/>
    <hyperlink ref="B156" r:id="rId30"/>
    <hyperlink ref="B140" r:id="rId31"/>
    <hyperlink ref="B134" r:id="rId32"/>
    <hyperlink ref="B135" r:id="rId33"/>
    <hyperlink ref="B138" r:id="rId34"/>
    <hyperlink ref="B139" r:id="rId35"/>
    <hyperlink ref="B136" r:id="rId36"/>
    <hyperlink ref="B153" r:id="rId37"/>
    <hyperlink ref="B109" r:id="rId38"/>
    <hyperlink ref="B127" r:id="rId39"/>
    <hyperlink ref="B114" r:id="rId40"/>
    <hyperlink ref="B61" r:id="rId41"/>
    <hyperlink ref="B110" r:id="rId42"/>
    <hyperlink ref="B119" r:id="rId43"/>
    <hyperlink ref="B120" r:id="rId44"/>
    <hyperlink ref="B147" r:id="rId45"/>
    <hyperlink ref="B149" r:id="rId46"/>
    <hyperlink ref="B144" r:id="rId47"/>
    <hyperlink ref="B111" r:id="rId48"/>
    <hyperlink ref="B145" r:id="rId49"/>
    <hyperlink ref="B148" r:id="rId50"/>
    <hyperlink ref="B112" r:id="rId51"/>
    <hyperlink ref="B87" r:id="rId52"/>
    <hyperlink ref="B89" r:id="rId53"/>
    <hyperlink ref="B137" r:id="rId54"/>
    <hyperlink ref="B38" r:id="rId55"/>
    <hyperlink ref="B104" r:id="rId56"/>
    <hyperlink ref="B42" r:id="rId57"/>
    <hyperlink ref="B43" r:id="rId58"/>
    <hyperlink ref="B80" r:id="rId59"/>
    <hyperlink ref="B78" r:id="rId60"/>
    <hyperlink ref="B81" r:id="rId61"/>
    <hyperlink ref="B82" r:id="rId62"/>
    <hyperlink ref="B35" r:id="rId63"/>
    <hyperlink ref="B32" r:id="rId64"/>
    <hyperlink ref="B28" r:id="rId65"/>
    <hyperlink ref="B30" r:id="rId66"/>
    <hyperlink ref="B31" r:id="rId67"/>
    <hyperlink ref="B33" r:id="rId68"/>
    <hyperlink ref="B34" r:id="rId69"/>
    <hyperlink ref="B62" r:id="rId70"/>
    <hyperlink ref="B54" r:id="rId71"/>
    <hyperlink ref="B113" r:id="rId72"/>
    <hyperlink ref="B108" r:id="rId73"/>
    <hyperlink ref="B83" r:id="rId74"/>
    <hyperlink ref="B79" r:id="rId75"/>
    <hyperlink ref="B67" r:id="rId76"/>
    <hyperlink ref="B68" r:id="rId77"/>
    <hyperlink ref="B69" r:id="rId78"/>
    <hyperlink ref="B44" r:id="rId79"/>
    <hyperlink ref="B84" r:id="rId80"/>
    <hyperlink ref="B150" r:id="rId81"/>
    <hyperlink ref="B146" r:id="rId82"/>
    <hyperlink ref="B152" r:id="rId83"/>
    <hyperlink ref="B59" r:id="rId84"/>
    <hyperlink ref="B60" r:id="rId85"/>
    <hyperlink ref="B154" r:id="rId86"/>
    <hyperlink ref="B155" r:id="rId87"/>
    <hyperlink ref="B121" r:id="rId88"/>
    <hyperlink ref="B151" r:id="rId89"/>
    <hyperlink ref="B29" r:id="rId90"/>
    <hyperlink ref="B70" r:id="rId91"/>
    <hyperlink ref="B71" r:id="rId92"/>
    <hyperlink ref="B72" r:id="rId93"/>
    <hyperlink ref="B73" r:id="rId94"/>
    <hyperlink ref="B75" r:id="rId95"/>
    <hyperlink ref="B74" r:id="rId96"/>
    <hyperlink ref="B3" r:id="rId97"/>
    <hyperlink ref="B21" r:id="rId98"/>
    <hyperlink ref="B22" r:id="rId99"/>
    <hyperlink ref="B23" r:id="rId100"/>
    <hyperlink ref="B20" r:id="rId101"/>
    <hyperlink ref="B16" r:id="rId102"/>
    <hyperlink ref="B24" r:id="rId103"/>
    <hyperlink ref="B25" r:id="rId104"/>
    <hyperlink ref="B46" r:id="rId105"/>
    <hyperlink ref="B47" r:id="rId106"/>
    <hyperlink ref="B50" r:id="rId107"/>
    <hyperlink ref="B36" r:id="rId108"/>
    <hyperlink ref="B39" r:id="rId109"/>
    <hyperlink ref="B40" r:id="rId110"/>
    <hyperlink ref="B26" r:id="rId111"/>
    <hyperlink ref="B6" r:id="rId112"/>
    <hyperlink ref="B11" r:id="rId113"/>
    <hyperlink ref="B12" r:id="rId114"/>
    <hyperlink ref="B13" r:id="rId115"/>
    <hyperlink ref="B14" r:id="rId116"/>
    <hyperlink ref="B15" r:id="rId117"/>
    <hyperlink ref="B56" r:id="rId118"/>
    <hyperlink ref="B51" r:id="rId119"/>
    <hyperlink ref="B52" r:id="rId120"/>
    <hyperlink ref="B10" r:id="rId121" location="93505a472/=1ap2f2s"/>
    <hyperlink ref="B9" r:id="rId122" location="90760a005/=1ap2f50"/>
    <hyperlink ref="B8" r:id="rId123" location="90272a105/=1ap2f59"/>
    <hyperlink ref="B4" r:id="rId124"/>
    <hyperlink ref="B5" r:id="rId125"/>
    <hyperlink ref="B48" r:id="rId126"/>
    <hyperlink ref="B57" r:id="rId127"/>
  </hyperlinks>
  <pageMargins left="0.7" right="0.7" top="0.75" bottom="0.75" header="0.3" footer="0.3"/>
  <legacyDrawing r:id="rId1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16" sqref="B16"/>
    </sheetView>
  </sheetViews>
  <sheetFormatPr defaultRowHeight="15" x14ac:dyDescent="0.25"/>
  <cols>
    <col min="1" max="1" width="47.140625" bestFit="1" customWidth="1"/>
    <col min="2" max="2" width="12.85546875" style="27" customWidth="1"/>
    <col min="3" max="3" width="10.5703125" style="2" bestFit="1" customWidth="1"/>
    <col min="5" max="5" width="12.5703125" style="2" customWidth="1"/>
  </cols>
  <sheetData>
    <row r="1" spans="1:8" ht="15" customHeight="1" x14ac:dyDescent="0.25">
      <c r="A1" s="4"/>
      <c r="B1" s="4"/>
      <c r="C1" s="53" t="s">
        <v>102</v>
      </c>
      <c r="D1" s="4"/>
      <c r="E1" s="53" t="s">
        <v>102</v>
      </c>
    </row>
    <row r="2" spans="1:8" x14ac:dyDescent="0.25">
      <c r="A2" s="38" t="s">
        <v>0</v>
      </c>
      <c r="B2" s="38" t="s">
        <v>8</v>
      </c>
      <c r="C2" s="54" t="s">
        <v>4</v>
      </c>
      <c r="D2" s="38" t="s">
        <v>3</v>
      </c>
      <c r="E2" s="54" t="s">
        <v>41</v>
      </c>
    </row>
    <row r="3" spans="1:8" x14ac:dyDescent="0.25">
      <c r="A3" s="4" t="s">
        <v>337</v>
      </c>
      <c r="B3" s="6" t="s">
        <v>338</v>
      </c>
      <c r="C3" s="5">
        <v>14.62</v>
      </c>
      <c r="D3" s="4">
        <v>6</v>
      </c>
      <c r="E3" s="50">
        <v>87.72</v>
      </c>
      <c r="G3" s="4" t="s">
        <v>367</v>
      </c>
      <c r="H3" s="50">
        <f>E3</f>
        <v>87.72</v>
      </c>
    </row>
    <row r="4" spans="1:8" x14ac:dyDescent="0.25">
      <c r="A4" s="27"/>
      <c r="B4" s="29"/>
      <c r="C4" s="28"/>
      <c r="D4" s="27"/>
      <c r="E4" s="30"/>
    </row>
    <row r="5" spans="1:8" x14ac:dyDescent="0.25">
      <c r="A5" s="4" t="s">
        <v>361</v>
      </c>
      <c r="B5" s="6" t="s">
        <v>40</v>
      </c>
      <c r="C5" s="5">
        <v>36.99</v>
      </c>
      <c r="D5" s="4">
        <v>6</v>
      </c>
      <c r="E5" s="50">
        <v>221.94</v>
      </c>
    </row>
    <row r="6" spans="1:8" x14ac:dyDescent="0.25">
      <c r="A6" s="4" t="s">
        <v>100</v>
      </c>
      <c r="B6" s="6" t="s">
        <v>40</v>
      </c>
      <c r="C6" s="5">
        <v>9.99</v>
      </c>
      <c r="D6" s="4">
        <v>6</v>
      </c>
      <c r="E6" s="5">
        <v>59.94</v>
      </c>
      <c r="G6" s="4" t="s">
        <v>367</v>
      </c>
      <c r="H6" s="50">
        <f>SUM(E5:E6)</f>
        <v>281.88</v>
      </c>
    </row>
    <row r="7" spans="1:8" x14ac:dyDescent="0.25">
      <c r="A7" s="27"/>
      <c r="B7" s="29"/>
      <c r="C7" s="28"/>
      <c r="D7" s="27"/>
      <c r="E7" s="28"/>
    </row>
    <row r="8" spans="1:8" x14ac:dyDescent="0.25">
      <c r="A8" s="19" t="s">
        <v>360</v>
      </c>
      <c r="B8" s="6" t="s">
        <v>36</v>
      </c>
      <c r="C8" s="5">
        <v>3.26</v>
      </c>
      <c r="D8" s="4">
        <v>6</v>
      </c>
      <c r="E8" s="50">
        <v>19.559999999999999</v>
      </c>
    </row>
    <row r="9" spans="1:8" x14ac:dyDescent="0.25">
      <c r="A9" s="19" t="s">
        <v>348</v>
      </c>
      <c r="B9" s="6" t="s">
        <v>36</v>
      </c>
      <c r="C9" s="5">
        <v>1.4999999999999999E-2</v>
      </c>
      <c r="D9" s="4">
        <v>10</v>
      </c>
      <c r="E9" s="50">
        <v>0.15</v>
      </c>
    </row>
    <row r="10" spans="1:8" x14ac:dyDescent="0.25">
      <c r="A10" s="4" t="s">
        <v>350</v>
      </c>
      <c r="B10" s="6" t="s">
        <v>36</v>
      </c>
      <c r="C10" s="5">
        <v>1.4999999999999999E-2</v>
      </c>
      <c r="D10" s="4">
        <v>10</v>
      </c>
      <c r="E10" s="50">
        <v>0.15</v>
      </c>
    </row>
    <row r="11" spans="1:8" x14ac:dyDescent="0.25">
      <c r="A11" s="19" t="s">
        <v>351</v>
      </c>
      <c r="B11" s="6" t="s">
        <v>36</v>
      </c>
      <c r="C11" s="5">
        <v>1.4999999999999999E-2</v>
      </c>
      <c r="D11" s="4">
        <v>10</v>
      </c>
      <c r="E11" s="50">
        <v>0.15</v>
      </c>
    </row>
    <row r="12" spans="1:8" x14ac:dyDescent="0.25">
      <c r="A12" s="4" t="s">
        <v>359</v>
      </c>
      <c r="B12" s="6" t="s">
        <v>36</v>
      </c>
      <c r="C12" s="5">
        <v>2.29</v>
      </c>
      <c r="D12" s="4">
        <v>3</v>
      </c>
      <c r="E12" s="5">
        <v>6.87</v>
      </c>
    </row>
    <row r="13" spans="1:8" x14ac:dyDescent="0.25">
      <c r="A13" s="4" t="s">
        <v>372</v>
      </c>
      <c r="B13" s="6" t="s">
        <v>36</v>
      </c>
      <c r="C13" s="5">
        <v>3.08</v>
      </c>
      <c r="D13" s="4">
        <v>10</v>
      </c>
      <c r="E13" s="5">
        <v>30.8</v>
      </c>
    </row>
    <row r="14" spans="1:8" x14ac:dyDescent="0.25">
      <c r="A14" s="4" t="s">
        <v>373</v>
      </c>
      <c r="B14" s="6" t="s">
        <v>36</v>
      </c>
      <c r="C14" s="5">
        <v>4.28</v>
      </c>
      <c r="D14" s="4">
        <v>10</v>
      </c>
      <c r="E14" s="5">
        <v>42.800000000000004</v>
      </c>
    </row>
    <row r="15" spans="1:8" x14ac:dyDescent="0.25">
      <c r="A15" s="4" t="s">
        <v>369</v>
      </c>
      <c r="B15" s="6" t="s">
        <v>36</v>
      </c>
      <c r="C15" s="5">
        <v>4.57</v>
      </c>
      <c r="D15" s="4">
        <v>6</v>
      </c>
      <c r="E15" s="5">
        <v>27.42</v>
      </c>
    </row>
    <row r="16" spans="1:8" x14ac:dyDescent="0.25">
      <c r="A16" s="4" t="s">
        <v>46</v>
      </c>
      <c r="B16" s="6" t="s">
        <v>36</v>
      </c>
      <c r="C16" s="5">
        <v>0.16</v>
      </c>
      <c r="D16" s="4">
        <v>10</v>
      </c>
      <c r="E16" s="5">
        <v>1.6</v>
      </c>
    </row>
    <row r="17" spans="1:8" x14ac:dyDescent="0.25">
      <c r="A17" s="4" t="s">
        <v>71</v>
      </c>
      <c r="B17" s="6" t="s">
        <v>36</v>
      </c>
      <c r="C17" s="5">
        <v>1.1100000000000001</v>
      </c>
      <c r="D17" s="4">
        <v>10</v>
      </c>
      <c r="E17" s="5">
        <v>11.100000000000001</v>
      </c>
    </row>
    <row r="18" spans="1:8" x14ac:dyDescent="0.25">
      <c r="A18" s="4" t="s">
        <v>99</v>
      </c>
      <c r="B18" s="6" t="s">
        <v>36</v>
      </c>
      <c r="C18" s="5">
        <v>1.96</v>
      </c>
      <c r="D18" s="4">
        <v>10</v>
      </c>
      <c r="E18" s="5">
        <v>19.600000000000001</v>
      </c>
      <c r="G18" s="4" t="s">
        <v>367</v>
      </c>
      <c r="H18" s="50">
        <f>SUM(E8:E18)</f>
        <v>160.19999999999999</v>
      </c>
    </row>
    <row r="19" spans="1:8" x14ac:dyDescent="0.25">
      <c r="A19" s="27"/>
      <c r="B19" s="29"/>
      <c r="C19" s="28"/>
      <c r="D19" s="27"/>
      <c r="E19" s="28"/>
    </row>
    <row r="20" spans="1:8" x14ac:dyDescent="0.25">
      <c r="A20" s="4" t="s">
        <v>374</v>
      </c>
      <c r="B20" s="6" t="s">
        <v>375</v>
      </c>
      <c r="C20" s="5">
        <v>0.68</v>
      </c>
      <c r="D20" s="4">
        <v>24</v>
      </c>
      <c r="E20" s="50">
        <v>16.32</v>
      </c>
      <c r="G20" s="4" t="s">
        <v>367</v>
      </c>
      <c r="H20" s="50">
        <f>E20</f>
        <v>16.32</v>
      </c>
    </row>
    <row r="21" spans="1:8" x14ac:dyDescent="0.25">
      <c r="A21" s="27"/>
      <c r="B21" s="29"/>
      <c r="C21" s="28"/>
      <c r="D21" s="27"/>
      <c r="E21" s="30"/>
    </row>
    <row r="22" spans="1:8" x14ac:dyDescent="0.25">
      <c r="A22" s="4" t="s">
        <v>380</v>
      </c>
      <c r="B22" s="6" t="s">
        <v>31</v>
      </c>
      <c r="C22" s="5">
        <v>18.8</v>
      </c>
      <c r="D22" s="4">
        <v>6</v>
      </c>
      <c r="E22" s="50">
        <v>112.8</v>
      </c>
      <c r="G22" s="4" t="s">
        <v>367</v>
      </c>
      <c r="H22" s="50">
        <f>E22</f>
        <v>112.8</v>
      </c>
    </row>
    <row r="24" spans="1:8" x14ac:dyDescent="0.25">
      <c r="D24" s="4" t="s">
        <v>58</v>
      </c>
      <c r="E24" s="5">
        <f>SUM(E3:E22)</f>
        <v>658.92</v>
      </c>
    </row>
  </sheetData>
  <autoFilter ref="A2:E22">
    <sortState ref="A3:E18">
      <sortCondition ref="B2:B18"/>
    </sortState>
  </autoFilter>
  <hyperlinks>
    <hyperlink ref="B16" r:id="rId1"/>
    <hyperlink ref="B17" r:id="rId2"/>
    <hyperlink ref="B9" r:id="rId3"/>
    <hyperlink ref="B10" r:id="rId4"/>
    <hyperlink ref="B11" r:id="rId5"/>
    <hyperlink ref="B18" r:id="rId6"/>
    <hyperlink ref="B6" r:id="rId7"/>
    <hyperlink ref="B3" r:id="rId8"/>
    <hyperlink ref="B8" r:id="rId9"/>
    <hyperlink ref="B5" r:id="rId10"/>
    <hyperlink ref="B15" r:id="rId11"/>
    <hyperlink ref="B13" r:id="rId12"/>
    <hyperlink ref="B14" r:id="rId13"/>
    <hyperlink ref="B20" r:id="rId14" location="93505a472/=1ap2f2s"/>
    <hyperlink ref="B22" r:id="rId15"/>
    <hyperlink ref="B12" r:id="rId1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6"/>
  <sheetViews>
    <sheetView workbookViewId="0">
      <selection activeCell="C34" sqref="C31:C34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4" width="11" bestFit="1" customWidth="1"/>
  </cols>
  <sheetData>
    <row r="3" spans="1:18" x14ac:dyDescent="0.25">
      <c r="A3" t="s">
        <v>111</v>
      </c>
      <c r="B3">
        <v>18</v>
      </c>
    </row>
    <row r="4" spans="1:18" x14ac:dyDescent="0.25">
      <c r="A4" t="s">
        <v>113</v>
      </c>
      <c r="B4">
        <v>20</v>
      </c>
      <c r="M4">
        <f>90.2/87</f>
        <v>1.0367816091954023</v>
      </c>
      <c r="Q4">
        <v>18</v>
      </c>
      <c r="R4">
        <f>Q4/M4</f>
        <v>17.361419068736144</v>
      </c>
    </row>
    <row r="5" spans="1:18" x14ac:dyDescent="0.25">
      <c r="A5" t="s">
        <v>114</v>
      </c>
      <c r="B5">
        <v>32</v>
      </c>
      <c r="M5">
        <f>28.8/27</f>
        <v>1.0666666666666667</v>
      </c>
      <c r="R5">
        <f>Q4/M5</f>
        <v>16.875</v>
      </c>
    </row>
    <row r="6" spans="1:18" x14ac:dyDescent="0.25">
      <c r="A6" t="s">
        <v>115</v>
      </c>
      <c r="B6">
        <f>B4*B5</f>
        <v>640</v>
      </c>
      <c r="M6">
        <v>14.5</v>
      </c>
      <c r="N6">
        <f>M4*M6</f>
        <v>15.033333333333333</v>
      </c>
    </row>
    <row r="7" spans="1:18" x14ac:dyDescent="0.25">
      <c r="A7" t="s">
        <v>116</v>
      </c>
      <c r="B7">
        <v>11</v>
      </c>
      <c r="N7">
        <f>M5*M6</f>
        <v>15.466666666666667</v>
      </c>
    </row>
    <row r="8" spans="1:18" x14ac:dyDescent="0.25">
      <c r="A8" t="s">
        <v>112</v>
      </c>
      <c r="B8">
        <f>B6+2</f>
        <v>642</v>
      </c>
      <c r="J8">
        <f>1000000/32768</f>
        <v>30.517578125</v>
      </c>
    </row>
    <row r="9" spans="1:18" x14ac:dyDescent="0.25">
      <c r="J9">
        <f>20/32768</f>
        <v>6.103515625E-4</v>
      </c>
    </row>
    <row r="10" spans="1:18" x14ac:dyDescent="0.25">
      <c r="A10" t="s">
        <v>117</v>
      </c>
      <c r="B10">
        <f>B8+B7*B6+B3</f>
        <v>7700</v>
      </c>
      <c r="C10" t="s">
        <v>118</v>
      </c>
      <c r="J10">
        <f>J9/J8</f>
        <v>2.0000000000000002E-5</v>
      </c>
    </row>
    <row r="11" spans="1:18" x14ac:dyDescent="0.25">
      <c r="A11" t="s">
        <v>125</v>
      </c>
      <c r="B11">
        <f>B4*19+B8</f>
        <v>1022</v>
      </c>
      <c r="J11">
        <f>20/1000000</f>
        <v>2.0000000000000002E-5</v>
      </c>
    </row>
    <row r="12" spans="1:18" x14ac:dyDescent="0.25">
      <c r="J12">
        <f>60*60*24*365</f>
        <v>31536000</v>
      </c>
    </row>
    <row r="13" spans="1:18" x14ac:dyDescent="0.25">
      <c r="J13">
        <f>J12/1000000</f>
        <v>31.536000000000001</v>
      </c>
      <c r="K13" t="s">
        <v>108</v>
      </c>
    </row>
    <row r="14" spans="1:18" x14ac:dyDescent="0.25">
      <c r="A14" t="s">
        <v>119</v>
      </c>
      <c r="B14">
        <v>5</v>
      </c>
      <c r="C14" t="s">
        <v>124</v>
      </c>
      <c r="I14" t="s">
        <v>109</v>
      </c>
      <c r="J14">
        <f>J13*20</f>
        <v>630.72</v>
      </c>
      <c r="K14">
        <f>J14/60</f>
        <v>10.512</v>
      </c>
      <c r="L14" t="s">
        <v>110</v>
      </c>
    </row>
    <row r="15" spans="1:18" x14ac:dyDescent="0.25">
      <c r="A15" t="s">
        <v>121</v>
      </c>
      <c r="B15">
        <v>5</v>
      </c>
      <c r="C15" t="s">
        <v>123</v>
      </c>
      <c r="J15">
        <f>J13*5</f>
        <v>157.68</v>
      </c>
      <c r="K15">
        <f>J15/60</f>
        <v>2.6280000000000001</v>
      </c>
    </row>
    <row r="16" spans="1:18" x14ac:dyDescent="0.25">
      <c r="B16" t="s">
        <v>126</v>
      </c>
      <c r="C16" s="18">
        <f>(24*60/B14*B10 + B11)*365*B15/1000000000</f>
        <v>4.04898515</v>
      </c>
      <c r="D16" t="s">
        <v>122</v>
      </c>
    </row>
    <row r="18" spans="1:7" x14ac:dyDescent="0.25">
      <c r="A18" t="s">
        <v>119</v>
      </c>
      <c r="B18">
        <v>5</v>
      </c>
      <c r="C18" t="s">
        <v>124</v>
      </c>
    </row>
    <row r="19" spans="1:7" x14ac:dyDescent="0.25">
      <c r="A19" t="s">
        <v>120</v>
      </c>
      <c r="B19">
        <v>8</v>
      </c>
      <c r="C19" t="s">
        <v>122</v>
      </c>
    </row>
    <row r="20" spans="1:7" x14ac:dyDescent="0.25">
      <c r="B20" t="s">
        <v>121</v>
      </c>
      <c r="C20" s="18">
        <f>B19*10^9*B18/24/60/365/B10</f>
        <v>9.8835715274071454</v>
      </c>
      <c r="D20" t="s">
        <v>123</v>
      </c>
    </row>
    <row r="22" spans="1:7" x14ac:dyDescent="0.25">
      <c r="A22" t="s">
        <v>121</v>
      </c>
      <c r="B22">
        <v>10</v>
      </c>
      <c r="C22" t="s">
        <v>123</v>
      </c>
    </row>
    <row r="23" spans="1:7" x14ac:dyDescent="0.25">
      <c r="A23" t="s">
        <v>120</v>
      </c>
      <c r="B23">
        <v>8</v>
      </c>
      <c r="C23" t="s">
        <v>122</v>
      </c>
    </row>
    <row r="24" spans="1:7" x14ac:dyDescent="0.25">
      <c r="B24" t="s">
        <v>119</v>
      </c>
      <c r="C24" s="32">
        <f>24*60/B23*B10*365*B22/1000000000</f>
        <v>5.0589000000000004</v>
      </c>
      <c r="D24" t="s">
        <v>124</v>
      </c>
    </row>
    <row r="26" spans="1:7" x14ac:dyDescent="0.25">
      <c r="G26">
        <f>128/12</f>
        <v>10.666666666666666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F33" sqref="F33"/>
    </sheetView>
  </sheetViews>
  <sheetFormatPr defaultRowHeight="15" x14ac:dyDescent="0.25"/>
  <cols>
    <col min="7" max="7" width="6" customWidth="1"/>
    <col min="8" max="8" width="6.42578125" bestFit="1" customWidth="1"/>
    <col min="9" max="9" width="7.7109375" bestFit="1" customWidth="1"/>
    <col min="10" max="10" width="7" bestFit="1" customWidth="1"/>
    <col min="11" max="11" width="6.7109375" bestFit="1" customWidth="1"/>
    <col min="12" max="12" width="6.28515625" bestFit="1" customWidth="1"/>
    <col min="13" max="13" width="7.7109375" bestFit="1" customWidth="1"/>
    <col min="14" max="14" width="7" bestFit="1" customWidth="1"/>
    <col min="15" max="15" width="6.7109375" bestFit="1" customWidth="1"/>
    <col min="16" max="16" width="4.85546875" customWidth="1"/>
    <col min="17" max="24" width="8.140625" customWidth="1"/>
  </cols>
  <sheetData>
    <row r="1" spans="1:23" x14ac:dyDescent="0.25">
      <c r="C1">
        <v>0.5</v>
      </c>
      <c r="D1">
        <v>0.3</v>
      </c>
      <c r="E1">
        <f>(D1-0.02)/(C1-0.02)</f>
        <v>0.58333333333333326</v>
      </c>
      <c r="H1" t="s">
        <v>49</v>
      </c>
      <c r="I1">
        <v>3.7499999999999999E-2</v>
      </c>
      <c r="J1" s="18">
        <f>E1*I1</f>
        <v>2.1874999999999995E-2</v>
      </c>
    </row>
    <row r="3" spans="1:23" x14ac:dyDescent="0.25">
      <c r="B3" s="57" t="s">
        <v>50</v>
      </c>
      <c r="C3" s="57"/>
      <c r="D3" s="57"/>
      <c r="E3" s="57"/>
      <c r="F3" s="57"/>
      <c r="H3" s="57" t="s">
        <v>51</v>
      </c>
      <c r="I3" s="57"/>
      <c r="J3" s="57"/>
      <c r="K3" s="57"/>
      <c r="L3" s="57"/>
      <c r="M3" s="57"/>
      <c r="N3" s="57"/>
    </row>
    <row r="4" spans="1:23" x14ac:dyDescent="0.25">
      <c r="B4" t="s">
        <v>47</v>
      </c>
      <c r="C4" t="s">
        <v>48</v>
      </c>
      <c r="E4" t="s">
        <v>47</v>
      </c>
      <c r="F4" t="s">
        <v>48</v>
      </c>
      <c r="H4" t="s">
        <v>47</v>
      </c>
      <c r="I4" t="s">
        <v>48</v>
      </c>
      <c r="K4" t="s">
        <v>47</v>
      </c>
      <c r="L4" t="s">
        <v>48</v>
      </c>
      <c r="M4" t="s">
        <v>47</v>
      </c>
      <c r="N4" t="s">
        <v>48</v>
      </c>
    </row>
    <row r="5" spans="1:23" x14ac:dyDescent="0.25">
      <c r="B5">
        <v>0.01</v>
      </c>
      <c r="C5">
        <v>-0.14699999999999999</v>
      </c>
      <c r="E5" s="18">
        <f>(B5-0.01)*$E$1+0.01</f>
        <v>0.01</v>
      </c>
      <c r="F5" s="18">
        <f>(C5-0.01)*$E$1+0.01</f>
        <v>-8.1583333333333327E-2</v>
      </c>
      <c r="H5">
        <v>-0.01</v>
      </c>
      <c r="I5">
        <v>-0.25</v>
      </c>
      <c r="K5" s="18">
        <f t="shared" ref="K5:K7" si="0">(H5-0.01)*$E$1+0.01</f>
        <v>-1.6666666666666653E-3</v>
      </c>
      <c r="L5" s="18">
        <f t="shared" ref="L5:L7" si="1">(I5-0.01)*$E$1+0.01</f>
        <v>-0.14166666666666664</v>
      </c>
      <c r="M5">
        <v>-0.01</v>
      </c>
      <c r="N5">
        <v>-0.14199999999999999</v>
      </c>
    </row>
    <row r="6" spans="1:23" x14ac:dyDescent="0.25">
      <c r="B6">
        <v>0.01</v>
      </c>
      <c r="C6">
        <v>-0.25</v>
      </c>
      <c r="E6" s="18">
        <f t="shared" ref="E6:E9" si="2">(B6-0.01)*$E$1+0.01</f>
        <v>0.01</v>
      </c>
      <c r="F6" s="18">
        <f t="shared" ref="F6:F9" si="3">(C6-0.01)*$E$1+0.01</f>
        <v>-0.14166666666666664</v>
      </c>
      <c r="H6">
        <v>0.25</v>
      </c>
      <c r="I6">
        <v>-0.55600000000000005</v>
      </c>
      <c r="K6" s="18">
        <f t="shared" si="0"/>
        <v>0.15</v>
      </c>
      <c r="L6" s="18">
        <f t="shared" si="1"/>
        <v>-0.32016666666666665</v>
      </c>
      <c r="M6">
        <v>0.15</v>
      </c>
      <c r="N6">
        <v>-0.32700000000000001</v>
      </c>
    </row>
    <row r="7" spans="1:23" x14ac:dyDescent="0.25">
      <c r="A7" t="s">
        <v>59</v>
      </c>
      <c r="B7">
        <v>1.7000000000000001E-2</v>
      </c>
      <c r="C7">
        <v>-0.3</v>
      </c>
      <c r="E7" s="18">
        <f t="shared" si="2"/>
        <v>1.4083333333333333E-2</v>
      </c>
      <c r="F7" s="18">
        <f t="shared" si="3"/>
        <v>-0.17083333333333331</v>
      </c>
      <c r="H7">
        <v>0.51</v>
      </c>
      <c r="I7">
        <v>-0.45600000000000002</v>
      </c>
      <c r="K7" s="18">
        <f t="shared" si="0"/>
        <v>0.30166666666666664</v>
      </c>
      <c r="L7" s="18">
        <f t="shared" si="1"/>
        <v>-0.26183333333333331</v>
      </c>
      <c r="M7">
        <v>0.31</v>
      </c>
      <c r="N7">
        <v>-0.14199999999999999</v>
      </c>
    </row>
    <row r="8" spans="1:23" x14ac:dyDescent="0.25">
      <c r="B8">
        <v>2.9000000000000001E-2</v>
      </c>
      <c r="C8">
        <v>-0.34200000000000003</v>
      </c>
      <c r="E8" s="18">
        <f t="shared" si="2"/>
        <v>2.1083333333333336E-2</v>
      </c>
      <c r="F8" s="18">
        <f t="shared" si="3"/>
        <v>-0.19533333333333333</v>
      </c>
    </row>
    <row r="9" spans="1:23" x14ac:dyDescent="0.25">
      <c r="B9">
        <v>0.25</v>
      </c>
      <c r="C9">
        <v>-0.14699999999999999</v>
      </c>
      <c r="E9" s="18">
        <f t="shared" si="2"/>
        <v>0.15</v>
      </c>
      <c r="F9" s="18">
        <f t="shared" si="3"/>
        <v>-8.1583333333333327E-2</v>
      </c>
    </row>
    <row r="10" spans="1:23" x14ac:dyDescent="0.25">
      <c r="E10" s="18"/>
      <c r="F10" s="18"/>
    </row>
    <row r="11" spans="1:23" x14ac:dyDescent="0.25">
      <c r="B11">
        <v>0.25</v>
      </c>
      <c r="C11">
        <v>-0.14699999999999999</v>
      </c>
      <c r="E11" s="18">
        <f t="shared" ref="E11:E15" si="4">(B11-0.01)*$E$1+0.01</f>
        <v>0.15</v>
      </c>
      <c r="F11" s="18">
        <f t="shared" ref="F11:F15" si="5">(C11-0.01)*$E$1+0.01</f>
        <v>-8.1583333333333327E-2</v>
      </c>
    </row>
    <row r="12" spans="1:23" x14ac:dyDescent="0.25">
      <c r="A12" t="s">
        <v>60</v>
      </c>
      <c r="B12">
        <v>0.47099999999999997</v>
      </c>
      <c r="C12">
        <v>-0.34200000000000003</v>
      </c>
      <c r="E12" s="18">
        <f t="shared" si="4"/>
        <v>0.27891666666666665</v>
      </c>
      <c r="F12" s="18">
        <f t="shared" si="5"/>
        <v>-0.19533333333333333</v>
      </c>
    </row>
    <row r="13" spans="1:23" x14ac:dyDescent="0.25">
      <c r="B13">
        <v>0.48299999999999998</v>
      </c>
      <c r="C13">
        <v>-0.3</v>
      </c>
      <c r="E13" s="18">
        <f t="shared" si="4"/>
        <v>0.28591666666666665</v>
      </c>
      <c r="F13" s="18">
        <f t="shared" si="5"/>
        <v>-0.17083333333333331</v>
      </c>
    </row>
    <row r="14" spans="1:23" x14ac:dyDescent="0.25">
      <c r="B14">
        <v>0.49</v>
      </c>
      <c r="C14">
        <v>-0.25</v>
      </c>
      <c r="E14" s="18">
        <f t="shared" si="4"/>
        <v>0.28999999999999998</v>
      </c>
      <c r="F14" s="18">
        <f t="shared" si="5"/>
        <v>-0.14166666666666664</v>
      </c>
    </row>
    <row r="15" spans="1:23" x14ac:dyDescent="0.25">
      <c r="B15">
        <v>0.49</v>
      </c>
      <c r="C15">
        <v>-0.14699999999999999</v>
      </c>
      <c r="E15" s="18">
        <f t="shared" si="4"/>
        <v>0.28999999999999998</v>
      </c>
      <c r="F15" s="18">
        <f t="shared" si="5"/>
        <v>-8.1583333333333327E-2</v>
      </c>
      <c r="J15">
        <v>0.23619999999999999</v>
      </c>
      <c r="K15">
        <f>J15+0.0138</f>
        <v>0.25</v>
      </c>
      <c r="Q15">
        <v>4.0000000000000001E-3</v>
      </c>
    </row>
    <row r="16" spans="1:23" x14ac:dyDescent="0.25">
      <c r="H16" t="s">
        <v>63</v>
      </c>
      <c r="J16" t="s">
        <v>64</v>
      </c>
      <c r="L16" t="s">
        <v>66</v>
      </c>
      <c r="N16" t="s">
        <v>65</v>
      </c>
      <c r="Q16" t="s">
        <v>63</v>
      </c>
      <c r="S16" t="s">
        <v>64</v>
      </c>
      <c r="U16" t="s">
        <v>66</v>
      </c>
      <c r="W16" t="s">
        <v>65</v>
      </c>
    </row>
    <row r="17" spans="1:24" x14ac:dyDescent="0.25">
      <c r="B17">
        <v>0.125</v>
      </c>
      <c r="C17">
        <v>-0.34300000000000003</v>
      </c>
      <c r="E17" s="18">
        <f t="shared" ref="E17:E19" si="6">(B17-0.01)*$E$1+0.01</f>
        <v>7.7083333333333323E-2</v>
      </c>
      <c r="F17" s="18">
        <f t="shared" ref="F17:F19" si="7">(C17-0.01)*$E$1+0.01</f>
        <v>-0.19591666666666666</v>
      </c>
      <c r="H17">
        <f>B17</f>
        <v>0.125</v>
      </c>
      <c r="I17">
        <f>C17+$I$1+0.005</f>
        <v>-0.30050000000000004</v>
      </c>
      <c r="J17">
        <f>B17+$I$1+0.005</f>
        <v>0.16750000000000001</v>
      </c>
      <c r="K17">
        <f>C17</f>
        <v>-0.34300000000000003</v>
      </c>
      <c r="L17">
        <f>B17</f>
        <v>0.125</v>
      </c>
      <c r="M17">
        <f>C17-$I$1-0.005</f>
        <v>-0.38550000000000001</v>
      </c>
      <c r="N17">
        <f>B17-$I$1-0.005</f>
        <v>8.249999999999999E-2</v>
      </c>
      <c r="O17">
        <f>C17</f>
        <v>-0.34300000000000003</v>
      </c>
      <c r="Q17" s="18">
        <f>E17</f>
        <v>7.7083333333333323E-2</v>
      </c>
      <c r="R17" s="18">
        <f>F17+$J$1+$Q$15</f>
        <v>-0.17004166666666665</v>
      </c>
      <c r="S17" s="18">
        <f>E17+$J$1+$Q$15</f>
        <v>0.10295833333333332</v>
      </c>
      <c r="T17" s="18">
        <f>F17</f>
        <v>-0.19591666666666666</v>
      </c>
      <c r="U17" s="18">
        <f>E17</f>
        <v>7.7083333333333323E-2</v>
      </c>
      <c r="V17" s="18">
        <f>F17-$J$1-$Q$15</f>
        <v>-0.22179166666666666</v>
      </c>
      <c r="W17" s="18">
        <f>E17-$J$1-$Q$15</f>
        <v>5.1208333333333328E-2</v>
      </c>
      <c r="X17" s="18">
        <f>F17</f>
        <v>-0.19591666666666666</v>
      </c>
    </row>
    <row r="18" spans="1:24" x14ac:dyDescent="0.25">
      <c r="A18" t="s">
        <v>61</v>
      </c>
      <c r="B18">
        <v>0.375</v>
      </c>
      <c r="C18">
        <v>-0.34300000000000003</v>
      </c>
      <c r="E18" s="18">
        <f t="shared" si="6"/>
        <v>0.22291666666666665</v>
      </c>
      <c r="F18" s="18">
        <f t="shared" si="7"/>
        <v>-0.19591666666666666</v>
      </c>
      <c r="H18">
        <f t="shared" ref="H18:H19" si="8">B18</f>
        <v>0.375</v>
      </c>
      <c r="I18">
        <f t="shared" ref="I18:I19" si="9">C18+$I$1+0.005</f>
        <v>-0.30050000000000004</v>
      </c>
      <c r="J18">
        <f t="shared" ref="J18:J19" si="10">B18+$I$1+0.005</f>
        <v>0.41749999999999998</v>
      </c>
      <c r="K18">
        <f t="shared" ref="K18:K19" si="11">C18</f>
        <v>-0.34300000000000003</v>
      </c>
      <c r="L18">
        <f t="shared" ref="L18:L19" si="12">B18</f>
        <v>0.375</v>
      </c>
      <c r="M18">
        <f t="shared" ref="M18:M19" si="13">C18-$I$1-0.005</f>
        <v>-0.38550000000000001</v>
      </c>
      <c r="N18">
        <f t="shared" ref="N18:N19" si="14">B18-$I$1-0.005</f>
        <v>0.33250000000000002</v>
      </c>
      <c r="O18">
        <f t="shared" ref="O18:O19" si="15">C18</f>
        <v>-0.34300000000000003</v>
      </c>
      <c r="Q18" s="18">
        <f t="shared" ref="Q18:Q19" si="16">E18</f>
        <v>0.22291666666666665</v>
      </c>
      <c r="R18" s="18">
        <f t="shared" ref="R18:R19" si="17">F18+$J$1+$Q$15</f>
        <v>-0.17004166666666665</v>
      </c>
      <c r="S18" s="18">
        <f t="shared" ref="S18:S19" si="18">E18+$J$1+$Q$15</f>
        <v>0.24879166666666666</v>
      </c>
      <c r="T18" s="18">
        <f t="shared" ref="T18:T19" si="19">F18</f>
        <v>-0.19591666666666666</v>
      </c>
      <c r="U18" s="18">
        <f t="shared" ref="U18:U19" si="20">E18</f>
        <v>0.22291666666666665</v>
      </c>
      <c r="V18" s="18">
        <f t="shared" ref="V18:V19" si="21">F18-$J$1-$Q$15</f>
        <v>-0.22179166666666666</v>
      </c>
      <c r="W18" s="18">
        <f t="shared" ref="W18:W19" si="22">E18-$J$1-$Q$15</f>
        <v>0.19704166666666664</v>
      </c>
      <c r="X18" s="18">
        <f t="shared" ref="X18:X19" si="23">F18</f>
        <v>-0.19591666666666666</v>
      </c>
    </row>
    <row r="19" spans="1:24" x14ac:dyDescent="0.25">
      <c r="B19">
        <v>0.25</v>
      </c>
      <c r="C19">
        <v>-0.245</v>
      </c>
      <c r="E19" s="18">
        <f t="shared" si="6"/>
        <v>0.15</v>
      </c>
      <c r="F19" s="18">
        <f t="shared" si="7"/>
        <v>-0.13874999999999998</v>
      </c>
      <c r="H19">
        <f t="shared" si="8"/>
        <v>0.25</v>
      </c>
      <c r="I19">
        <f t="shared" si="9"/>
        <v>-0.20249999999999999</v>
      </c>
      <c r="J19">
        <f t="shared" si="10"/>
        <v>0.29249999999999998</v>
      </c>
      <c r="K19">
        <f t="shared" si="11"/>
        <v>-0.245</v>
      </c>
      <c r="L19">
        <f t="shared" si="12"/>
        <v>0.25</v>
      </c>
      <c r="M19">
        <f t="shared" si="13"/>
        <v>-0.28749999999999998</v>
      </c>
      <c r="N19">
        <f t="shared" si="14"/>
        <v>0.20749999999999999</v>
      </c>
      <c r="O19">
        <f t="shared" si="15"/>
        <v>-0.245</v>
      </c>
      <c r="Q19" s="18">
        <f t="shared" si="16"/>
        <v>0.15</v>
      </c>
      <c r="R19" s="18">
        <f t="shared" si="17"/>
        <v>-0.11287499999999999</v>
      </c>
      <c r="S19" s="18">
        <f t="shared" si="18"/>
        <v>0.175875</v>
      </c>
      <c r="T19" s="18">
        <f t="shared" si="19"/>
        <v>-0.13874999999999998</v>
      </c>
      <c r="U19" s="18">
        <f t="shared" si="20"/>
        <v>0.15</v>
      </c>
      <c r="V19" s="18">
        <f t="shared" si="21"/>
        <v>-0.16462499999999999</v>
      </c>
      <c r="W19" s="18">
        <f t="shared" si="22"/>
        <v>0.12412499999999999</v>
      </c>
      <c r="X19" s="18">
        <f t="shared" si="23"/>
        <v>-0.13874999999999998</v>
      </c>
    </row>
    <row r="21" spans="1:24" x14ac:dyDescent="0.25">
      <c r="B21">
        <v>0.104</v>
      </c>
      <c r="C21">
        <v>-0.45600000000000002</v>
      </c>
      <c r="E21" s="18">
        <f t="shared" ref="E21:E28" si="24">(B21-0.01)*$E$1+0.01</f>
        <v>6.4833333333333326E-2</v>
      </c>
      <c r="F21" s="18">
        <f t="shared" ref="F21:F28" si="25">(C21-0.01)*$E$1+0.01</f>
        <v>-0.26183333333333331</v>
      </c>
    </row>
    <row r="22" spans="1:24" x14ac:dyDescent="0.25">
      <c r="A22" t="s">
        <v>62</v>
      </c>
      <c r="B22">
        <v>0.15</v>
      </c>
      <c r="C22">
        <v>-0.49199999999999999</v>
      </c>
      <c r="E22" s="18">
        <f t="shared" si="24"/>
        <v>9.1666666666666646E-2</v>
      </c>
      <c r="F22" s="18">
        <f t="shared" si="25"/>
        <v>-0.28283333333333327</v>
      </c>
    </row>
    <row r="23" spans="1:24" x14ac:dyDescent="0.25">
      <c r="B23">
        <v>0.2</v>
      </c>
      <c r="C23">
        <v>-0.51800000000000002</v>
      </c>
      <c r="E23" s="18">
        <f t="shared" si="24"/>
        <v>0.12083333333333332</v>
      </c>
      <c r="F23" s="18">
        <f t="shared" si="25"/>
        <v>-0.29799999999999999</v>
      </c>
    </row>
    <row r="24" spans="1:24" x14ac:dyDescent="0.25">
      <c r="B24">
        <v>0.25</v>
      </c>
      <c r="C24">
        <v>-0.53400000000000003</v>
      </c>
      <c r="E24" s="18">
        <f t="shared" si="24"/>
        <v>0.15</v>
      </c>
      <c r="F24" s="18">
        <f t="shared" si="25"/>
        <v>-0.30733333333333329</v>
      </c>
    </row>
    <row r="25" spans="1:24" x14ac:dyDescent="0.25">
      <c r="B25">
        <v>0.3</v>
      </c>
      <c r="C25">
        <v>-0.51800000000000002</v>
      </c>
      <c r="E25" s="18">
        <f t="shared" si="24"/>
        <v>0.17916666666666664</v>
      </c>
      <c r="F25" s="18">
        <f t="shared" si="25"/>
        <v>-0.29799999999999999</v>
      </c>
    </row>
    <row r="26" spans="1:24" x14ac:dyDescent="0.25">
      <c r="B26">
        <v>0.35</v>
      </c>
      <c r="C26">
        <v>-0.49199999999999999</v>
      </c>
      <c r="E26" s="18">
        <f t="shared" si="24"/>
        <v>0.20833333333333329</v>
      </c>
      <c r="F26" s="18">
        <f t="shared" si="25"/>
        <v>-0.28283333333333327</v>
      </c>
    </row>
    <row r="27" spans="1:24" x14ac:dyDescent="0.25">
      <c r="B27">
        <v>0.39600000000000002</v>
      </c>
      <c r="C27">
        <v>-0.45600000000000002</v>
      </c>
      <c r="E27" s="18">
        <f t="shared" si="24"/>
        <v>0.23516666666666666</v>
      </c>
      <c r="F27" s="18">
        <f t="shared" si="25"/>
        <v>-0.26183333333333331</v>
      </c>
    </row>
    <row r="28" spans="1:24" x14ac:dyDescent="0.25">
      <c r="B28">
        <v>0.25</v>
      </c>
      <c r="C28">
        <v>-0.317</v>
      </c>
      <c r="E28" s="18">
        <f t="shared" si="24"/>
        <v>0.15</v>
      </c>
      <c r="F28" s="18">
        <f t="shared" si="25"/>
        <v>-0.18074999999999997</v>
      </c>
    </row>
  </sheetData>
  <mergeCells count="2">
    <mergeCell ref="B3:F3"/>
    <mergeCell ref="H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opLeftCell="A133" workbookViewId="0">
      <selection activeCell="B157" sqref="B157"/>
    </sheetView>
  </sheetViews>
  <sheetFormatPr defaultRowHeight="15" x14ac:dyDescent="0.25"/>
  <cols>
    <col min="1" max="1" width="31.42578125" bestFit="1" customWidth="1"/>
    <col min="2" max="2" width="81.140625" bestFit="1" customWidth="1"/>
    <col min="3" max="3" width="14.42578125" bestFit="1" customWidth="1"/>
  </cols>
  <sheetData>
    <row r="1" spans="1:1" x14ac:dyDescent="0.25">
      <c r="A1" t="s">
        <v>131</v>
      </c>
    </row>
    <row r="2" spans="1:1" x14ac:dyDescent="0.25">
      <c r="A2" t="s">
        <v>132</v>
      </c>
    </row>
    <row r="3" spans="1:1" x14ac:dyDescent="0.25">
      <c r="A3" t="s">
        <v>133</v>
      </c>
    </row>
    <row r="4" spans="1:1" x14ac:dyDescent="0.25">
      <c r="A4" t="s">
        <v>134</v>
      </c>
    </row>
    <row r="5" spans="1:1" x14ac:dyDescent="0.25">
      <c r="A5" t="s">
        <v>135</v>
      </c>
    </row>
    <row r="8" spans="1:1" x14ac:dyDescent="0.25">
      <c r="A8" t="s">
        <v>136</v>
      </c>
    </row>
    <row r="10" spans="1:1" x14ac:dyDescent="0.25">
      <c r="A10" t="s">
        <v>137</v>
      </c>
    </row>
    <row r="12" spans="1:1" x14ac:dyDescent="0.25">
      <c r="A12" t="s">
        <v>138</v>
      </c>
    </row>
    <row r="13" spans="1:1" x14ac:dyDescent="0.25">
      <c r="A13" t="s">
        <v>139</v>
      </c>
    </row>
    <row r="14" spans="1:1" x14ac:dyDescent="0.25">
      <c r="A14" t="s">
        <v>140</v>
      </c>
    </row>
    <row r="16" spans="1:1" x14ac:dyDescent="0.25">
      <c r="A16" t="s">
        <v>141</v>
      </c>
    </row>
    <row r="18" spans="1:1" x14ac:dyDescent="0.25">
      <c r="A18" t="s">
        <v>142</v>
      </c>
    </row>
    <row r="19" spans="1:1" x14ac:dyDescent="0.25">
      <c r="A19" t="s">
        <v>143</v>
      </c>
    </row>
    <row r="20" spans="1:1" x14ac:dyDescent="0.25">
      <c r="A20" t="s">
        <v>144</v>
      </c>
    </row>
    <row r="21" spans="1:1" x14ac:dyDescent="0.25">
      <c r="A21" t="s">
        <v>145</v>
      </c>
    </row>
    <row r="22" spans="1:1" x14ac:dyDescent="0.25">
      <c r="A22" t="s">
        <v>146</v>
      </c>
    </row>
    <row r="23" spans="1:1" x14ac:dyDescent="0.25">
      <c r="A23" t="s">
        <v>147</v>
      </c>
    </row>
    <row r="27" spans="1:1" x14ac:dyDescent="0.25">
      <c r="A27" t="s">
        <v>148</v>
      </c>
    </row>
    <row r="29" spans="1:1" x14ac:dyDescent="0.25">
      <c r="A29" t="s">
        <v>149</v>
      </c>
    </row>
    <row r="30" spans="1:1" x14ac:dyDescent="0.25">
      <c r="A30" t="s">
        <v>150</v>
      </c>
    </row>
    <row r="31" spans="1:1" x14ac:dyDescent="0.25">
      <c r="A31" t="s">
        <v>151</v>
      </c>
    </row>
    <row r="32" spans="1:1" x14ac:dyDescent="0.25">
      <c r="A32" t="s">
        <v>152</v>
      </c>
    </row>
    <row r="36" spans="1:1" x14ac:dyDescent="0.25">
      <c r="A36" t="s">
        <v>153</v>
      </c>
    </row>
    <row r="38" spans="1:1" x14ac:dyDescent="0.25">
      <c r="A38" t="s">
        <v>154</v>
      </c>
    </row>
    <row r="39" spans="1:1" x14ac:dyDescent="0.25">
      <c r="A39" t="s">
        <v>155</v>
      </c>
    </row>
    <row r="40" spans="1:1" x14ac:dyDescent="0.25">
      <c r="A40" t="s">
        <v>156</v>
      </c>
    </row>
    <row r="41" spans="1:1" x14ac:dyDescent="0.25">
      <c r="A41" t="s">
        <v>157</v>
      </c>
    </row>
    <row r="42" spans="1:1" x14ac:dyDescent="0.25">
      <c r="A42" t="s">
        <v>158</v>
      </c>
    </row>
    <row r="44" spans="1:1" x14ac:dyDescent="0.25">
      <c r="A44" t="s">
        <v>159</v>
      </c>
    </row>
    <row r="45" spans="1:1" x14ac:dyDescent="0.25">
      <c r="A45" t="s">
        <v>160</v>
      </c>
    </row>
    <row r="46" spans="1:1" x14ac:dyDescent="0.25">
      <c r="A46" t="s">
        <v>161</v>
      </c>
    </row>
    <row r="48" spans="1:1" x14ac:dyDescent="0.25">
      <c r="A48" t="s">
        <v>162</v>
      </c>
    </row>
    <row r="50" spans="1:2" x14ac:dyDescent="0.25">
      <c r="A50" t="s">
        <v>163</v>
      </c>
    </row>
    <row r="52" spans="1:2" x14ac:dyDescent="0.25">
      <c r="A52" t="s">
        <v>164</v>
      </c>
    </row>
    <row r="54" spans="1:2" x14ac:dyDescent="0.25">
      <c r="A54" t="s">
        <v>165</v>
      </c>
    </row>
    <row r="56" spans="1:2" x14ac:dyDescent="0.25">
      <c r="A56" t="s">
        <v>166</v>
      </c>
    </row>
    <row r="58" spans="1:2" x14ac:dyDescent="0.25">
      <c r="A58" t="s">
        <v>167</v>
      </c>
    </row>
    <row r="60" spans="1:2" x14ac:dyDescent="0.25">
      <c r="A60" t="s">
        <v>168</v>
      </c>
    </row>
    <row r="61" spans="1:2" x14ac:dyDescent="0.25">
      <c r="A61" t="s">
        <v>169</v>
      </c>
      <c r="B61" t="s">
        <v>170</v>
      </c>
    </row>
    <row r="62" spans="1:2" x14ac:dyDescent="0.25">
      <c r="A62" t="s">
        <v>171</v>
      </c>
      <c r="B62" s="33">
        <v>1877</v>
      </c>
    </row>
    <row r="63" spans="1:2" x14ac:dyDescent="0.25">
      <c r="B63" t="s">
        <v>172</v>
      </c>
    </row>
    <row r="64" spans="1:2" x14ac:dyDescent="0.25">
      <c r="A64" t="s">
        <v>173</v>
      </c>
      <c r="B64" t="s">
        <v>174</v>
      </c>
    </row>
    <row r="65" spans="1:2" x14ac:dyDescent="0.25">
      <c r="A65" t="s">
        <v>175</v>
      </c>
      <c r="B65" t="s">
        <v>176</v>
      </c>
    </row>
    <row r="66" spans="1:2" x14ac:dyDescent="0.25">
      <c r="A66" t="s">
        <v>177</v>
      </c>
      <c r="B66" t="s">
        <v>178</v>
      </c>
    </row>
    <row r="67" spans="1:2" x14ac:dyDescent="0.25">
      <c r="A67" t="s">
        <v>179</v>
      </c>
      <c r="B67" t="s">
        <v>180</v>
      </c>
    </row>
    <row r="68" spans="1:2" x14ac:dyDescent="0.25">
      <c r="A68" t="s">
        <v>181</v>
      </c>
      <c r="B68" t="s">
        <v>182</v>
      </c>
    </row>
    <row r="69" spans="1:2" x14ac:dyDescent="0.25">
      <c r="A69" t="s">
        <v>183</v>
      </c>
      <c r="B69" t="s">
        <v>184</v>
      </c>
    </row>
    <row r="70" spans="1:2" x14ac:dyDescent="0.25">
      <c r="A70" t="s">
        <v>185</v>
      </c>
    </row>
    <row r="71" spans="1:2" x14ac:dyDescent="0.25">
      <c r="A71" t="s">
        <v>186</v>
      </c>
      <c r="B71" t="s">
        <v>187</v>
      </c>
    </row>
    <row r="72" spans="1:2" x14ac:dyDescent="0.25">
      <c r="A72" t="s">
        <v>188</v>
      </c>
      <c r="B72" t="s">
        <v>189</v>
      </c>
    </row>
    <row r="73" spans="1:2" x14ac:dyDescent="0.25">
      <c r="A73" t="s">
        <v>190</v>
      </c>
      <c r="B73" t="s">
        <v>191</v>
      </c>
    </row>
    <row r="74" spans="1:2" x14ac:dyDescent="0.25">
      <c r="A74" t="s">
        <v>156</v>
      </c>
      <c r="B74" t="s">
        <v>192</v>
      </c>
    </row>
    <row r="75" spans="1:2" x14ac:dyDescent="0.25">
      <c r="A75" t="s">
        <v>193</v>
      </c>
      <c r="B75" t="s">
        <v>194</v>
      </c>
    </row>
    <row r="76" spans="1:2" x14ac:dyDescent="0.25">
      <c r="A76" t="s">
        <v>195</v>
      </c>
      <c r="B76" t="s">
        <v>196</v>
      </c>
    </row>
    <row r="78" spans="1:2" x14ac:dyDescent="0.25">
      <c r="A78" t="s">
        <v>197</v>
      </c>
      <c r="B78" t="s">
        <v>198</v>
      </c>
    </row>
    <row r="80" spans="1:2" x14ac:dyDescent="0.25">
      <c r="A80" t="s">
        <v>173</v>
      </c>
      <c r="B80" t="s">
        <v>199</v>
      </c>
    </row>
    <row r="82" spans="1:2" x14ac:dyDescent="0.25">
      <c r="A82" t="s">
        <v>200</v>
      </c>
      <c r="B82" t="s">
        <v>201</v>
      </c>
    </row>
    <row r="83" spans="1:2" x14ac:dyDescent="0.25">
      <c r="A83" t="s">
        <v>202</v>
      </c>
      <c r="B83" t="s">
        <v>203</v>
      </c>
    </row>
    <row r="84" spans="1:2" x14ac:dyDescent="0.25">
      <c r="A84" t="s">
        <v>204</v>
      </c>
      <c r="B84" t="s">
        <v>205</v>
      </c>
    </row>
    <row r="85" spans="1:2" x14ac:dyDescent="0.25">
      <c r="A85" t="s">
        <v>206</v>
      </c>
      <c r="B85" t="s">
        <v>207</v>
      </c>
    </row>
    <row r="86" spans="1:2" x14ac:dyDescent="0.25">
      <c r="A86" t="s">
        <v>208</v>
      </c>
      <c r="B86" t="s">
        <v>209</v>
      </c>
    </row>
    <row r="87" spans="1:2" x14ac:dyDescent="0.25">
      <c r="A87" t="s">
        <v>210</v>
      </c>
      <c r="B87">
        <v>40</v>
      </c>
    </row>
    <row r="88" spans="1:2" x14ac:dyDescent="0.25">
      <c r="A88" t="s">
        <v>211</v>
      </c>
      <c r="B88" t="s">
        <v>212</v>
      </c>
    </row>
    <row r="89" spans="1:2" x14ac:dyDescent="0.25">
      <c r="A89" t="s">
        <v>213</v>
      </c>
      <c r="B89" t="s">
        <v>214</v>
      </c>
    </row>
    <row r="90" spans="1:2" x14ac:dyDescent="0.25">
      <c r="A90" t="s">
        <v>215</v>
      </c>
      <c r="B90">
        <v>1</v>
      </c>
    </row>
    <row r="91" spans="1:2" x14ac:dyDescent="0.25">
      <c r="A91" t="s">
        <v>216</v>
      </c>
      <c r="B91" t="s">
        <v>201</v>
      </c>
    </row>
    <row r="92" spans="1:2" x14ac:dyDescent="0.25">
      <c r="A92" t="s">
        <v>217</v>
      </c>
      <c r="B92" t="s">
        <v>218</v>
      </c>
    </row>
    <row r="93" spans="1:2" x14ac:dyDescent="0.25">
      <c r="A93" t="s">
        <v>219</v>
      </c>
      <c r="B93" t="s">
        <v>220</v>
      </c>
    </row>
    <row r="94" spans="1:2" x14ac:dyDescent="0.25">
      <c r="A94" t="s">
        <v>221</v>
      </c>
      <c r="B94" t="s">
        <v>222</v>
      </c>
    </row>
    <row r="95" spans="1:2" x14ac:dyDescent="0.25">
      <c r="A95" t="s">
        <v>223</v>
      </c>
      <c r="B95" t="s">
        <v>201</v>
      </c>
    </row>
    <row r="96" spans="1:2" x14ac:dyDescent="0.25">
      <c r="A96" t="s">
        <v>224</v>
      </c>
      <c r="B96" t="s">
        <v>201</v>
      </c>
    </row>
    <row r="97" spans="1:2" x14ac:dyDescent="0.25">
      <c r="A97" t="s">
        <v>225</v>
      </c>
      <c r="B97" t="s">
        <v>226</v>
      </c>
    </row>
    <row r="98" spans="1:2" x14ac:dyDescent="0.25">
      <c r="A98" t="s">
        <v>227</v>
      </c>
      <c r="B98" t="s">
        <v>228</v>
      </c>
    </row>
    <row r="99" spans="1:2" x14ac:dyDescent="0.25">
      <c r="A99" t="s">
        <v>229</v>
      </c>
      <c r="B99" t="s">
        <v>230</v>
      </c>
    </row>
    <row r="101" spans="1:2" x14ac:dyDescent="0.25">
      <c r="A101" t="s">
        <v>231</v>
      </c>
    </row>
    <row r="102" spans="1:2" x14ac:dyDescent="0.25">
      <c r="A102" t="s">
        <v>232</v>
      </c>
    </row>
    <row r="103" spans="1:2" x14ac:dyDescent="0.25">
      <c r="A103" t="s">
        <v>233</v>
      </c>
    </row>
    <row r="104" spans="1:2" x14ac:dyDescent="0.25">
      <c r="A104" t="s">
        <v>234</v>
      </c>
    </row>
    <row r="105" spans="1:2" x14ac:dyDescent="0.25">
      <c r="A105" t="s">
        <v>199</v>
      </c>
    </row>
    <row r="106" spans="1:2" x14ac:dyDescent="0.25">
      <c r="A106" t="s">
        <v>235</v>
      </c>
    </row>
    <row r="107" spans="1:2" x14ac:dyDescent="0.25">
      <c r="A107" t="s">
        <v>236</v>
      </c>
    </row>
    <row r="108" spans="1:2" x14ac:dyDescent="0.25">
      <c r="A108" t="s">
        <v>237</v>
      </c>
    </row>
    <row r="109" spans="1:2" x14ac:dyDescent="0.25">
      <c r="A109" t="s">
        <v>238</v>
      </c>
    </row>
    <row r="110" spans="1:2" x14ac:dyDescent="0.25">
      <c r="A110" t="s">
        <v>199</v>
      </c>
    </row>
    <row r="111" spans="1:2" x14ac:dyDescent="0.25">
      <c r="A111" t="s">
        <v>235</v>
      </c>
    </row>
    <row r="112" spans="1:2" x14ac:dyDescent="0.25">
      <c r="A112" t="s">
        <v>239</v>
      </c>
    </row>
    <row r="113" spans="1:1" x14ac:dyDescent="0.25">
      <c r="A113" t="s">
        <v>240</v>
      </c>
    </row>
    <row r="114" spans="1:1" x14ac:dyDescent="0.25">
      <c r="A114" t="s">
        <v>241</v>
      </c>
    </row>
    <row r="115" spans="1:1" x14ac:dyDescent="0.25">
      <c r="A115" t="s">
        <v>199</v>
      </c>
    </row>
    <row r="116" spans="1:1" x14ac:dyDescent="0.25">
      <c r="A116" t="s">
        <v>242</v>
      </c>
    </row>
    <row r="117" spans="1:1" x14ac:dyDescent="0.25">
      <c r="A117" t="s">
        <v>243</v>
      </c>
    </row>
    <row r="118" spans="1:1" x14ac:dyDescent="0.25">
      <c r="A118" t="s">
        <v>244</v>
      </c>
    </row>
    <row r="119" spans="1:1" x14ac:dyDescent="0.25">
      <c r="A119">
        <v>85</v>
      </c>
    </row>
    <row r="120" spans="1:1" x14ac:dyDescent="0.25">
      <c r="A120" t="s">
        <v>245</v>
      </c>
    </row>
    <row r="121" spans="1:1" x14ac:dyDescent="0.25">
      <c r="A121" t="s">
        <v>246</v>
      </c>
    </row>
    <row r="122" spans="1:1" x14ac:dyDescent="0.25">
      <c r="A122" t="s">
        <v>247</v>
      </c>
    </row>
    <row r="123" spans="1:1" x14ac:dyDescent="0.25">
      <c r="A123" t="s">
        <v>248</v>
      </c>
    </row>
    <row r="124" spans="1:1" x14ac:dyDescent="0.25">
      <c r="A124" t="s">
        <v>249</v>
      </c>
    </row>
    <row r="125" spans="1:1" x14ac:dyDescent="0.25">
      <c r="A125" t="s">
        <v>199</v>
      </c>
    </row>
    <row r="126" spans="1:1" x14ac:dyDescent="0.25">
      <c r="A126" t="s">
        <v>250</v>
      </c>
    </row>
    <row r="127" spans="1:1" x14ac:dyDescent="0.25">
      <c r="A127" t="s">
        <v>251</v>
      </c>
    </row>
    <row r="128" spans="1:1" x14ac:dyDescent="0.25">
      <c r="A128" t="s">
        <v>252</v>
      </c>
    </row>
    <row r="129" spans="1:2" x14ac:dyDescent="0.25">
      <c r="A129" t="s">
        <v>253</v>
      </c>
      <c r="B129">
        <v>1</v>
      </c>
    </row>
    <row r="130" spans="1:2" x14ac:dyDescent="0.25">
      <c r="A130" t="s">
        <v>254</v>
      </c>
      <c r="B130" t="s">
        <v>255</v>
      </c>
    </row>
    <row r="131" spans="1:2" x14ac:dyDescent="0.25">
      <c r="B131" t="s">
        <v>256</v>
      </c>
    </row>
    <row r="132" spans="1:2" x14ac:dyDescent="0.25">
      <c r="B132" t="s">
        <v>257</v>
      </c>
    </row>
    <row r="134" spans="1:2" x14ac:dyDescent="0.25">
      <c r="A134" s="34">
        <v>42608.529560185183</v>
      </c>
    </row>
    <row r="136" spans="1:2" x14ac:dyDescent="0.25">
      <c r="A136" t="s">
        <v>258</v>
      </c>
    </row>
    <row r="139" spans="1:2" x14ac:dyDescent="0.25">
      <c r="A139" t="s">
        <v>259</v>
      </c>
    </row>
    <row r="144" spans="1:2" x14ac:dyDescent="0.25">
      <c r="A144" t="s">
        <v>260</v>
      </c>
    </row>
    <row r="145" spans="1:3" x14ac:dyDescent="0.25">
      <c r="A145" t="s">
        <v>261</v>
      </c>
      <c r="B145" t="s">
        <v>262</v>
      </c>
      <c r="C145" t="s">
        <v>263</v>
      </c>
    </row>
    <row r="146" spans="1:3" x14ac:dyDescent="0.25">
      <c r="A146">
        <v>1</v>
      </c>
      <c r="B146">
        <v>0.99</v>
      </c>
      <c r="C146">
        <v>0.99</v>
      </c>
    </row>
    <row r="147" spans="1:3" x14ac:dyDescent="0.25">
      <c r="A147">
        <v>10</v>
      </c>
      <c r="B147">
        <v>0.89</v>
      </c>
      <c r="C147">
        <v>8.9</v>
      </c>
    </row>
    <row r="148" spans="1:3" x14ac:dyDescent="0.25">
      <c r="A148">
        <v>100</v>
      </c>
      <c r="B148">
        <v>0.7329</v>
      </c>
      <c r="C148">
        <v>73.290000000000006</v>
      </c>
    </row>
    <row r="149" spans="1:3" x14ac:dyDescent="0.25">
      <c r="A149">
        <v>500</v>
      </c>
      <c r="B149">
        <v>0.57933999999999997</v>
      </c>
      <c r="C149">
        <v>289.67</v>
      </c>
    </row>
    <row r="150" spans="1:3" x14ac:dyDescent="0.25">
      <c r="A150" s="33">
        <v>1000</v>
      </c>
      <c r="B150">
        <v>0.49732999999999999</v>
      </c>
      <c r="C150">
        <v>497.33</v>
      </c>
    </row>
    <row r="151" spans="1:3" x14ac:dyDescent="0.25">
      <c r="A151" s="33">
        <v>5000</v>
      </c>
      <c r="B151">
        <v>0.45369999999999999</v>
      </c>
      <c r="C151" s="35">
        <v>2268.5</v>
      </c>
    </row>
    <row r="152" spans="1:3" x14ac:dyDescent="0.25">
      <c r="A152" s="33">
        <v>10000</v>
      </c>
      <c r="B152">
        <v>0.43625000000000003</v>
      </c>
      <c r="C152" s="35">
        <v>4362.5</v>
      </c>
    </row>
    <row r="153" spans="1:3" x14ac:dyDescent="0.25">
      <c r="A153" t="s">
        <v>264</v>
      </c>
    </row>
    <row r="154" spans="1:3" x14ac:dyDescent="0.25">
      <c r="A154" t="s">
        <v>265</v>
      </c>
    </row>
    <row r="155" spans="1:3" x14ac:dyDescent="0.25">
      <c r="A155" t="s">
        <v>266</v>
      </c>
    </row>
    <row r="156" spans="1:3" x14ac:dyDescent="0.25">
      <c r="A156" t="s">
        <v>267</v>
      </c>
    </row>
    <row r="157" spans="1:3" x14ac:dyDescent="0.25">
      <c r="A157" t="s">
        <v>268</v>
      </c>
    </row>
    <row r="158" spans="1:3" x14ac:dyDescent="0.25">
      <c r="A158" t="s">
        <v>269</v>
      </c>
    </row>
    <row r="159" spans="1:3" x14ac:dyDescent="0.25">
      <c r="A159" t="s">
        <v>270</v>
      </c>
    </row>
    <row r="160" spans="1:3" x14ac:dyDescent="0.25">
      <c r="A160" t="s">
        <v>271</v>
      </c>
    </row>
    <row r="161" spans="1:2" x14ac:dyDescent="0.25">
      <c r="A161" t="s">
        <v>272</v>
      </c>
    </row>
    <row r="162" spans="1:2" x14ac:dyDescent="0.25">
      <c r="A162" t="s">
        <v>273</v>
      </c>
    </row>
    <row r="163" spans="1:2" x14ac:dyDescent="0.25">
      <c r="A163" t="s">
        <v>274</v>
      </c>
    </row>
    <row r="164" spans="1:2" x14ac:dyDescent="0.25">
      <c r="A164" t="s">
        <v>272</v>
      </c>
    </row>
    <row r="165" spans="1:2" x14ac:dyDescent="0.25">
      <c r="A165" t="s">
        <v>275</v>
      </c>
    </row>
    <row r="166" spans="1:2" x14ac:dyDescent="0.25">
      <c r="A166" t="s">
        <v>276</v>
      </c>
    </row>
    <row r="167" spans="1:2" x14ac:dyDescent="0.25">
      <c r="A167" t="s">
        <v>272</v>
      </c>
    </row>
    <row r="168" spans="1:2" x14ac:dyDescent="0.25">
      <c r="A168" t="s">
        <v>277</v>
      </c>
    </row>
    <row r="169" spans="1:2" x14ac:dyDescent="0.25">
      <c r="A169" t="s">
        <v>278</v>
      </c>
    </row>
    <row r="170" spans="1:2" x14ac:dyDescent="0.25">
      <c r="A170" t="s">
        <v>272</v>
      </c>
    </row>
    <row r="171" spans="1:2" x14ac:dyDescent="0.25">
      <c r="A171" t="s">
        <v>279</v>
      </c>
    </row>
    <row r="172" spans="1:2" x14ac:dyDescent="0.25">
      <c r="A172" t="s">
        <v>280</v>
      </c>
    </row>
    <row r="173" spans="1:2" x14ac:dyDescent="0.25">
      <c r="A173" t="s">
        <v>281</v>
      </c>
      <c r="B173" t="s">
        <v>304</v>
      </c>
    </row>
    <row r="174" spans="1:2" x14ac:dyDescent="0.25">
      <c r="B174" t="s">
        <v>305</v>
      </c>
    </row>
    <row r="175" spans="1:2" x14ac:dyDescent="0.25">
      <c r="A175" t="s">
        <v>282</v>
      </c>
      <c r="B175" t="s">
        <v>306</v>
      </c>
    </row>
    <row r="176" spans="1:2" x14ac:dyDescent="0.25">
      <c r="A176" t="s">
        <v>283</v>
      </c>
      <c r="B176" t="s">
        <v>307</v>
      </c>
    </row>
    <row r="177" spans="1:2" x14ac:dyDescent="0.25">
      <c r="A177" t="s">
        <v>284</v>
      </c>
      <c r="B177" t="s">
        <v>308</v>
      </c>
    </row>
    <row r="178" spans="1:2" x14ac:dyDescent="0.25">
      <c r="A178" t="s">
        <v>285</v>
      </c>
    </row>
    <row r="179" spans="1:2" x14ac:dyDescent="0.25">
      <c r="A179" t="s">
        <v>286</v>
      </c>
      <c r="B179" t="s">
        <v>309</v>
      </c>
    </row>
    <row r="180" spans="1:2" x14ac:dyDescent="0.25">
      <c r="A180" t="s">
        <v>287</v>
      </c>
    </row>
    <row r="181" spans="1:2" x14ac:dyDescent="0.25">
      <c r="A181" t="s">
        <v>288</v>
      </c>
    </row>
    <row r="182" spans="1:2" x14ac:dyDescent="0.25">
      <c r="A182" t="s">
        <v>289</v>
      </c>
    </row>
    <row r="183" spans="1:2" x14ac:dyDescent="0.25">
      <c r="A183" t="s">
        <v>290</v>
      </c>
    </row>
    <row r="185" spans="1:2" x14ac:dyDescent="0.25">
      <c r="A185" t="s">
        <v>291</v>
      </c>
    </row>
    <row r="186" spans="1:2" x14ac:dyDescent="0.25">
      <c r="A186" t="s">
        <v>292</v>
      </c>
    </row>
    <row r="187" spans="1:2" x14ac:dyDescent="0.25">
      <c r="A187" t="s">
        <v>293</v>
      </c>
    </row>
    <row r="188" spans="1:2" x14ac:dyDescent="0.25">
      <c r="A188" t="s">
        <v>294</v>
      </c>
    </row>
    <row r="190" spans="1:2" x14ac:dyDescent="0.25">
      <c r="A190" t="s">
        <v>295</v>
      </c>
    </row>
    <row r="192" spans="1:2" x14ac:dyDescent="0.25">
      <c r="A192" t="s">
        <v>296</v>
      </c>
    </row>
    <row r="194" spans="1:1" x14ac:dyDescent="0.25">
      <c r="A194" t="s">
        <v>297</v>
      </c>
    </row>
    <row r="195" spans="1:1" x14ac:dyDescent="0.25">
      <c r="A195" t="s">
        <v>298</v>
      </c>
    </row>
    <row r="196" spans="1:1" x14ac:dyDescent="0.25">
      <c r="A196" t="s">
        <v>299</v>
      </c>
    </row>
    <row r="197" spans="1:1" x14ac:dyDescent="0.25">
      <c r="A197" t="s">
        <v>300</v>
      </c>
    </row>
    <row r="198" spans="1:1" x14ac:dyDescent="0.25">
      <c r="A198" t="s">
        <v>301</v>
      </c>
    </row>
    <row r="199" spans="1:1" x14ac:dyDescent="0.25">
      <c r="A199" t="s">
        <v>302</v>
      </c>
    </row>
    <row r="200" spans="1:1" x14ac:dyDescent="0.25">
      <c r="A200" t="s"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teensy</vt:lpstr>
      <vt:lpstr>pi</vt:lpstr>
      <vt:lpstr>beth_compile</vt:lpstr>
      <vt:lpstr>sd_card_size</vt:lpstr>
      <vt:lpstr>logo</vt:lpstr>
      <vt:lpstr>Web Sheets</vt:lpstr>
      <vt:lpstr>'Web Sheets'!en?vendor_0_keywords_PRPC040SACN_RC</vt:lpstr>
    </vt:vector>
  </TitlesOfParts>
  <Company>University of Pennsylvania - FRES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Teter</dc:creator>
  <cp:lastModifiedBy>Matthew Teter</cp:lastModifiedBy>
  <dcterms:created xsi:type="dcterms:W3CDTF">2015-11-17T14:58:31Z</dcterms:created>
  <dcterms:modified xsi:type="dcterms:W3CDTF">2018-01-31T20:46:47Z</dcterms:modified>
</cp:coreProperties>
</file>