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ouha\Desktop\DA BOOT CAMP\Anlysis Project\Crowdfunding Analysis Assignmet\"/>
    </mc:Choice>
  </mc:AlternateContent>
  <xr:revisionPtr revIDLastSave="0" documentId="13_ncr:1_{3104A16B-7E67-4DA1-8FE9-D0EE4DC3A0A2}" xr6:coauthVersionLast="47" xr6:coauthVersionMax="47" xr10:uidLastSave="{00000000-0000-0000-0000-000000000000}"/>
  <bookViews>
    <workbookView xWindow="255" yWindow="225" windowWidth="14850" windowHeight="15105" firstSheet="6" activeTab="6" xr2:uid="{00000000-000D-0000-FFFF-FFFF00000000}"/>
  </bookViews>
  <sheets>
    <sheet name="Category Statistics" sheetId="3" r:id="rId1"/>
    <sheet name="Subcategory Statistics" sheetId="5" r:id="rId2"/>
    <sheet name="Outcomes Based on Launch Date" sheetId="6" r:id="rId3"/>
    <sheet name="Outcomes Based on Goal" sheetId="14" r:id="rId4"/>
    <sheet name="Theater Outcomes by Launch Date" sheetId="16" r:id="rId5"/>
    <sheet name="Kickstarter" sheetId="1" r:id="rId6"/>
    <sheet name="Descriptive Statistics" sheetId="10" r:id="rId7"/>
    <sheet name="Sheet2" sheetId="2" r:id="rId8"/>
    <sheet name="Edinburgh Research" sheetId="7" r:id="rId9"/>
  </sheets>
  <definedNames>
    <definedName name="_xlnm._FilterDatabase" localSheetId="5" hidden="1">Kickstarter!$A$1:$T$4115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4" l="1"/>
  <c r="H3" i="14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F3" i="14"/>
  <c r="F4" i="14"/>
  <c r="F5" i="14"/>
  <c r="F6" i="14"/>
  <c r="F7" i="14"/>
  <c r="F8" i="14"/>
  <c r="F9" i="14"/>
  <c r="F10" i="14"/>
  <c r="F11" i="14"/>
  <c r="F12" i="14"/>
  <c r="F13" i="14"/>
  <c r="O2" i="1"/>
  <c r="E3" i="14"/>
  <c r="E4" i="14"/>
  <c r="E5" i="14"/>
  <c r="E6" i="14"/>
  <c r="E7" i="14"/>
  <c r="E8" i="14"/>
  <c r="E9" i="14"/>
  <c r="E10" i="14"/>
  <c r="E11" i="14"/>
  <c r="E12" i="14"/>
  <c r="E13" i="14"/>
  <c r="D13" i="14"/>
  <c r="D12" i="14"/>
  <c r="D11" i="14"/>
  <c r="D10" i="14"/>
  <c r="D9" i="14"/>
  <c r="D8" i="14"/>
  <c r="D7" i="14"/>
  <c r="D6" i="14"/>
  <c r="D5" i="14"/>
  <c r="D4" i="14"/>
  <c r="D3" i="14"/>
  <c r="C2" i="14"/>
  <c r="C13" i="14"/>
  <c r="C12" i="14"/>
  <c r="C11" i="14"/>
  <c r="C10" i="14"/>
  <c r="C9" i="14"/>
  <c r="C8" i="14"/>
  <c r="C7" i="14"/>
  <c r="C6" i="14"/>
  <c r="C5" i="14"/>
  <c r="C4" i="14"/>
  <c r="C3" i="14"/>
  <c r="B2" i="14"/>
  <c r="B7" i="14"/>
  <c r="B12" i="14"/>
  <c r="B13" i="14"/>
  <c r="B11" i="14"/>
  <c r="B10" i="14"/>
  <c r="B9" i="14"/>
  <c r="B8" i="14"/>
  <c r="B6" i="14"/>
  <c r="B5" i="14"/>
  <c r="B4" i="14"/>
  <c r="B3" i="14"/>
  <c r="C14" i="10"/>
  <c r="B14" i="10"/>
  <c r="C13" i="10"/>
  <c r="B13" i="10"/>
  <c r="C12" i="10"/>
  <c r="B12" i="10"/>
  <c r="C6" i="10"/>
  <c r="C5" i="10"/>
  <c r="C4" i="10"/>
  <c r="B6" i="10"/>
  <c r="B5" i="10"/>
  <c r="B4" i="10"/>
  <c r="B11" i="10"/>
  <c r="B10" i="10"/>
  <c r="C11" i="10"/>
  <c r="C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2" i="7"/>
  <c r="B3" i="7"/>
  <c r="B4" i="7"/>
  <c r="B5" i="7"/>
  <c r="B6" i="7"/>
  <c r="P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B7" i="10" l="1"/>
  <c r="E2" i="14"/>
  <c r="H2" i="14" s="1"/>
  <c r="C7" i="10"/>
  <c r="C15" i="10"/>
  <c r="B15" i="10"/>
  <c r="G2" i="14" l="1"/>
  <c r="F2" i="14"/>
</calcChain>
</file>

<file path=xl/sharedStrings.xml><?xml version="1.0" encoding="utf-8"?>
<sst xmlns="http://schemas.openxmlformats.org/spreadsheetml/2006/main" count="33061" uniqueCount="8414">
  <si>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</si>
  <si>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</si>
  <si>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</si>
  <si>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</si>
  <si>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</si>
  <si>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</si>
  <si>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</si>
  <si>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</si>
  <si>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</si>
  <si>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</si>
  <si>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</si>
  <si>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</si>
  <si>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</si>
  <si>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</si>
  <si>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</si>
  <si>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</si>
  <si>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</si>
  <si>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</si>
  <si>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</si>
  <si>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</si>
  <si>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</si>
  <si>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</si>
  <si>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</si>
  <si>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</si>
  <si>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</si>
  <si>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</si>
  <si>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</si>
  <si>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</si>
  <si>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</si>
  <si>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</si>
  <si>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</si>
  <si>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</si>
  <si>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</si>
  <si>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</si>
  <si>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</si>
  <si>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</si>
  <si>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</si>
  <si>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</si>
  <si>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</si>
  <si>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</si>
  <si>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</si>
  <si>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</si>
  <si>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</si>
  <si>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</si>
  <si>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</si>
  <si>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</si>
  <si>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</si>
  <si>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</si>
  <si>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</si>
  <si>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</si>
  <si>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</si>
  <si>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</si>
  <si>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</si>
  <si>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</si>
  <si>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</si>
  <si>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</si>
  <si>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</si>
  <si>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</si>
  <si>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</si>
  <si>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</si>
  <si>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</si>
  <si>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</si>
  <si>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</si>
  <si>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</si>
  <si>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</si>
  <si>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</si>
  <si>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</si>
  <si>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</si>
  <si>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</si>
  <si>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</si>
  <si>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</si>
  <si>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</si>
  <si>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</si>
  <si>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</si>
  <si>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</si>
  <si>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</si>
  <si>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</si>
  <si>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</si>
  <si>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</si>
  <si>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</si>
  <si>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</si>
  <si>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</si>
  <si>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</si>
  <si>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</si>
  <si>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</si>
  <si>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</si>
  <si>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</si>
  <si>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</si>
  <si>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</si>
  <si>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</si>
  <si>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</si>
  <si>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</si>
  <si>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</si>
  <si>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</si>
  <si>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</si>
  <si>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</si>
  <si>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</si>
  <si>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</si>
  <si>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</si>
  <si>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</si>
  <si>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</si>
  <si>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</si>
  <si>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</si>
  <si>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</si>
  <si>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</si>
  <si>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</si>
  <si>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</si>
  <si>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</si>
  <si>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</si>
  <si>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</si>
  <si>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</si>
  <si>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</si>
  <si>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</si>
  <si>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</si>
  <si>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</si>
  <si>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</si>
  <si>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</si>
  <si>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</si>
  <si>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</si>
  <si>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</si>
  <si>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</si>
  <si>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</si>
  <si>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</si>
  <si>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</si>
  <si>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</si>
  <si>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</si>
  <si>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</si>
  <si>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</si>
  <si>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</si>
  <si>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</si>
  <si>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</si>
  <si>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</si>
  <si>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</si>
  <si>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</si>
  <si>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</si>
  <si>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</si>
  <si>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</si>
  <si>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</si>
  <si>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</si>
  <si>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</si>
  <si>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</si>
  <si>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</si>
  <si>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</si>
  <si>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</si>
  <si>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</si>
  <si>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</si>
  <si>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</si>
  <si>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</si>
  <si>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</si>
  <si>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</si>
  <si>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</si>
  <si>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</si>
  <si>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</si>
  <si>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</si>
  <si>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</si>
  <si>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</si>
  <si>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</si>
  <si>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</si>
  <si>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</si>
  <si>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</si>
  <si>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</si>
  <si>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</si>
  <si>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</si>
  <si>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</si>
  <si>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</si>
  <si>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</si>
  <si>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</si>
  <si>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</si>
  <si>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</si>
  <si>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</si>
  <si>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</si>
  <si>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</si>
  <si>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</si>
  <si>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</si>
  <si>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</si>
  <si>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</si>
  <si>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</si>
  <si>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</si>
  <si>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</si>
  <si>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</si>
  <si>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</si>
  <si>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</si>
  <si>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</si>
  <si>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</si>
  <si>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</si>
  <si>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</si>
  <si>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</si>
  <si>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</si>
  <si>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</si>
  <si>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</si>
  <si>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</si>
  <si>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</si>
  <si>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</si>
  <si>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</si>
  <si>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</si>
  <si>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</si>
  <si>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</si>
  <si>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</si>
  <si>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</si>
  <si>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</si>
  <si>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</si>
  <si>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</si>
  <si>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</si>
  <si>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</si>
  <si>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</si>
  <si>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</si>
  <si>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</si>
  <si>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</si>
  <si>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</si>
  <si>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</si>
  <si>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</si>
  <si>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</si>
  <si>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</si>
  <si>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</si>
  <si>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</si>
  <si>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</si>
  <si>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</si>
  <si>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</si>
  <si>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</si>
  <si>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</si>
  <si>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</si>
  <si>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</si>
  <si>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</si>
  <si>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</si>
  <si>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</si>
  <si>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</si>
  <si>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</si>
  <si>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</si>
  <si>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</si>
  <si>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</si>
  <si>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</si>
  <si>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</si>
  <si>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</si>
  <si>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</si>
  <si>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</si>
  <si>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</si>
  <si>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</si>
  <si>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</si>
  <si>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</si>
  <si>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</si>
  <si>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</si>
  <si>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</si>
  <si>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</si>
  <si>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</si>
  <si>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</si>
  <si>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</si>
  <si>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</si>
  <si>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</si>
  <si>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</si>
  <si>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</si>
  <si>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</si>
  <si>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</si>
  <si>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</si>
  <si>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</si>
  <si>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</si>
  <si>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</si>
  <si>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</si>
  <si>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</si>
  <si>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</si>
  <si>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</si>
  <si>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</si>
  <si>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</si>
  <si>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</si>
  <si>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</si>
  <si>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</si>
  <si>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</si>
  <si>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</si>
  <si>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</si>
  <si>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</si>
  <si>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</si>
  <si>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</si>
  <si>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</si>
  <si>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</si>
  <si>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</si>
  <si>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</si>
  <si>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</si>
  <si>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</si>
  <si>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</si>
  <si>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</si>
  <si>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</si>
  <si>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</si>
  <si>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</si>
  <si>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</si>
  <si>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</si>
  <si>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</si>
  <si>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</si>
  <si>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</si>
  <si>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</si>
  <si>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</si>
  <si>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</si>
  <si>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</si>
  <si>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</si>
  <si>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</si>
  <si>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</si>
  <si>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</si>
  <si>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</si>
  <si>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</si>
  <si>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</si>
  <si>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</si>
  <si>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</si>
  <si>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</si>
  <si>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</si>
  <si>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</si>
  <si>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</si>
  <si>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</si>
  <si>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</si>
  <si>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</si>
  <si>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</si>
  <si>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</si>
  <si>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</si>
  <si>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</si>
  <si>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</si>
  <si>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</si>
  <si>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</si>
  <si>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</si>
  <si>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</si>
  <si>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</si>
  <si>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</si>
  <si>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</si>
  <si>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</si>
  <si>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</si>
  <si>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</si>
  <si>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</si>
  <si>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</si>
  <si>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</si>
  <si>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</si>
  <si>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</si>
  <si>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</si>
  <si>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</si>
  <si>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</si>
  <si>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</si>
  <si>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</si>
  <si>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</si>
  <si>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</si>
  <si>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</si>
  <si>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</si>
  <si>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</si>
  <si>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</si>
  <si>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</si>
  <si>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</si>
  <si>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</si>
  <si>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</si>
  <si>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</si>
  <si>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</si>
  <si>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</si>
  <si>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</si>
  <si>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</si>
  <si>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</si>
  <si>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</si>
  <si>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</si>
  <si>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</si>
  <si>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</si>
  <si>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</si>
  <si>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</si>
  <si>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</si>
  <si>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</si>
  <si>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</si>
  <si>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</si>
  <si>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</si>
  <si>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</si>
  <si>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</si>
  <si>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</si>
  <si>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</si>
  <si>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</si>
  <si>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</si>
  <si>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</si>
  <si>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</si>
  <si>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</si>
  <si>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</si>
  <si>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</si>
  <si>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</si>
  <si>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</si>
  <si>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</si>
  <si>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</si>
  <si>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</si>
  <si>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</si>
  <si>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</si>
  <si>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</si>
  <si>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</si>
  <si>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</si>
  <si>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</si>
  <si>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</si>
  <si>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</si>
  <si>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</si>
  <si>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</si>
  <si>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</si>
  <si>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</si>
  <si>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</si>
  <si>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</si>
  <si>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</si>
  <si>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</si>
  <si>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</si>
  <si>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</si>
  <si>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</si>
  <si>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</si>
  <si>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</si>
  <si>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</si>
  <si>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</si>
  <si>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</si>
  <si>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</si>
  <si>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</si>
  <si>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</si>
  <si>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</si>
  <si>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</si>
  <si>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</si>
  <si>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</si>
  <si>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</si>
  <si>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</si>
  <si>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</si>
  <si>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</si>
  <si>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</si>
  <si>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</si>
  <si>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</si>
  <si>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</si>
  <si>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</si>
  <si>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</si>
  <si>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</si>
  <si>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</si>
  <si>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</si>
  <si>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</si>
  <si>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</si>
  <si>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</si>
  <si>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</si>
  <si>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</si>
  <si>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</si>
  <si>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</si>
  <si>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</si>
  <si>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</si>
  <si>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</si>
  <si>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</si>
  <si>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</si>
  <si>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</si>
  <si>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</si>
  <si>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</si>
  <si>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</si>
  <si>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</si>
  <si>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</si>
  <si>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</si>
  <si>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</si>
  <si>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</si>
  <si>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</si>
  <si>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</si>
  <si>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</si>
  <si>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</si>
  <si>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</si>
  <si>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</si>
  <si>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</si>
  <si>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</si>
  <si>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</si>
  <si>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</si>
  <si>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</si>
  <si>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</si>
  <si>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</si>
  <si>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</si>
  <si>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</si>
  <si>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</si>
  <si>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</si>
  <si>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</si>
  <si>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</si>
  <si>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</si>
  <si>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</si>
  <si>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</si>
  <si>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</si>
  <si>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</si>
  <si>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</si>
  <si>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</si>
  <si>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</si>
  <si>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</si>
  <si>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</si>
  <si>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</si>
  <si>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</si>
  <si>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</si>
  <si>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</si>
  <si>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</si>
  <si>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</si>
  <si>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</si>
  <si>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</si>
  <si>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</si>
  <si>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</si>
  <si>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</si>
  <si>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</si>
  <si>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</si>
  <si>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</si>
  <si>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</si>
  <si>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</si>
  <si>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</si>
  <si>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</si>
  <si>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</si>
  <si>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</si>
  <si>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</si>
  <si>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</si>
  <si>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</si>
  <si>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</si>
  <si>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</si>
  <si>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</si>
  <si>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</si>
  <si>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</si>
  <si>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</si>
  <si>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</si>
  <si>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</si>
  <si>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</si>
  <si>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</si>
  <si>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</si>
  <si>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</si>
  <si>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</si>
  <si>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</si>
  <si>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</si>
  <si>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</si>
  <si>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</si>
  <si>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</si>
  <si>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</si>
  <si>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</si>
  <si>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</si>
  <si>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</si>
  <si>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</si>
  <si>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</si>
  <si>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</si>
  <si>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</si>
  <si>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</si>
  <si>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</si>
  <si>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</si>
  <si>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</si>
  <si>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</si>
  <si>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</si>
  <si>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</si>
  <si>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</si>
  <si>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</si>
  <si>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</si>
  <si>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</si>
  <si>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</si>
  <si>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</si>
  <si>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</si>
  <si>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</si>
  <si>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</si>
  <si>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</si>
  <si>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</si>
  <si>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</si>
  <si>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</si>
  <si>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</si>
  <si>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</si>
  <si>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</si>
  <si>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</si>
  <si>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</si>
  <si>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</si>
  <si>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</si>
  <si>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</si>
  <si>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</si>
  <si>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</si>
  <si>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</si>
  <si>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</si>
  <si>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</si>
  <si>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</si>
  <si>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</si>
  <si>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</si>
  <si>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</si>
  <si>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</si>
  <si>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</si>
  <si>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</si>
  <si>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</si>
  <si>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</si>
  <si>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</si>
  <si>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</si>
  <si>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</si>
  <si>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</si>
  <si>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</si>
  <si>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</si>
  <si>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</si>
  <si>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</si>
  <si>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</si>
  <si>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</si>
  <si>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</si>
  <si>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</si>
  <si>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</si>
  <si>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</si>
  <si>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</si>
  <si>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</si>
  <si>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</si>
  <si>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</si>
  <si>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</si>
  <si>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</si>
  <si>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</si>
  <si>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</si>
  <si>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</si>
  <si>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</si>
  <si>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</si>
  <si>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</si>
  <si>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</si>
  <si>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</si>
  <si>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</si>
  <si>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</si>
  <si>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</si>
  <si>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</si>
  <si>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</si>
  <si>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</si>
  <si>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</si>
  <si>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</si>
  <si>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</si>
  <si>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</si>
  <si>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</si>
  <si>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</si>
  <si>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</si>
  <si>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</si>
  <si>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</si>
  <si>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</si>
  <si>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</si>
  <si>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</si>
  <si>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</si>
  <si>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</si>
  <si>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</si>
  <si>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</si>
  <si>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</si>
  <si>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</si>
  <si>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</si>
  <si>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</si>
  <si>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</si>
  <si>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</si>
  <si>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</si>
  <si>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</si>
  <si>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</si>
  <si>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</si>
  <si>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</si>
  <si>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</si>
  <si>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</si>
  <si>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</si>
  <si>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</si>
  <si>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</si>
  <si>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</si>
  <si>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</si>
  <si>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</si>
  <si>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</si>
  <si>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</si>
  <si>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</si>
  <si>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</si>
  <si>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</si>
  <si>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</si>
  <si>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</si>
  <si>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</si>
  <si>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</si>
  <si>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</si>
  <si>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</si>
  <si>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</si>
  <si>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</si>
  <si>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</si>
  <si>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</si>
  <si>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</si>
  <si>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</si>
  <si>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</si>
  <si>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</si>
  <si>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</si>
  <si>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</si>
  <si>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</si>
  <si>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</si>
  <si>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</si>
  <si>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</si>
  <si>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</si>
  <si>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</si>
  <si>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</si>
  <si>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</si>
  <si>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</si>
  <si>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</si>
  <si>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</si>
  <si>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</si>
  <si>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</si>
  <si>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</si>
  <si>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</si>
  <si>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</si>
  <si>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</si>
  <si>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</si>
  <si>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</si>
  <si>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</si>
  <si>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</si>
  <si>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</si>
  <si>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</si>
  <si>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</si>
  <si>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</si>
  <si>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</si>
  <si>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</si>
  <si>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</si>
  <si>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</si>
  <si>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</si>
  <si>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</si>
  <si>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</si>
  <si>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</si>
  <si>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</si>
  <si>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</si>
  <si>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</si>
  <si>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</si>
  <si>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</si>
  <si>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</si>
  <si>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</si>
  <si>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</si>
  <si>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</si>
  <si>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</si>
  <si>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</si>
  <si>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</si>
  <si>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</si>
  <si>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</si>
  <si>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</si>
  <si>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</si>
  <si>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</si>
  <si>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</si>
  <si>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</si>
  <si>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</si>
  <si>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</si>
  <si>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</si>
  <si>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</si>
  <si>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</si>
  <si>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</si>
  <si>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</si>
  <si>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</si>
  <si>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</si>
  <si>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</si>
  <si>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</si>
  <si>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</si>
  <si>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</si>
  <si>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</si>
  <si>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</si>
  <si>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</si>
  <si>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</si>
  <si>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</si>
  <si>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</si>
  <si>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</si>
  <si>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</si>
  <si>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</si>
  <si>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</si>
  <si>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</si>
  <si>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</si>
  <si>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</si>
  <si>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</si>
  <si>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</si>
  <si>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</si>
  <si>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</si>
  <si>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</si>
  <si>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</si>
  <si>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</si>
  <si>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</si>
  <si>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</si>
  <si>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</si>
  <si>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</si>
  <si>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</si>
  <si>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</si>
  <si>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</si>
  <si>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</si>
  <si>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</si>
  <si>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</si>
  <si>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</si>
  <si>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</si>
  <si>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</si>
  <si>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</si>
  <si>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</si>
  <si>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</si>
  <si>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</si>
  <si>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</si>
  <si>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</si>
  <si>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</si>
  <si>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</si>
  <si>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</si>
  <si>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</si>
  <si>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</si>
  <si>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</si>
  <si>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</si>
  <si>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</si>
  <si>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</si>
  <si>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</si>
  <si>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</si>
  <si>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</si>
  <si>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</si>
  <si>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</si>
  <si>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</si>
  <si>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</si>
  <si>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</si>
  <si>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</si>
  <si>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</si>
  <si>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</si>
  <si>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</si>
  <si>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</si>
  <si>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</si>
  <si>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</si>
  <si>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</si>
  <si>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</si>
  <si>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</si>
  <si>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</si>
  <si>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</si>
  <si>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</si>
  <si>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</si>
  <si>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</si>
  <si>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</si>
  <si>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</si>
  <si>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</si>
  <si>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</si>
  <si>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</si>
  <si>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</si>
  <si>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</si>
  <si>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</si>
  <si>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</si>
  <si>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</si>
  <si>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</si>
  <si>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</si>
  <si>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</si>
  <si>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</si>
  <si>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</si>
  <si>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</si>
  <si>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</si>
  <si>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</si>
  <si>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</si>
  <si>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</si>
  <si>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</si>
  <si>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</si>
  <si>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</si>
  <si>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</si>
  <si>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</si>
  <si>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</si>
  <si>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</si>
  <si>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</si>
  <si>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</si>
  <si>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</si>
  <si>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</si>
  <si>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</si>
  <si>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</si>
  <si>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</si>
  <si>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</si>
  <si>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</si>
  <si>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</si>
  <si>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</si>
  <si>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</si>
  <si>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</si>
  <si>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</si>
  <si>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</si>
  <si>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</si>
  <si>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</si>
  <si>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</si>
  <si>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</si>
  <si>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</si>
  <si>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</si>
  <si>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</si>
  <si>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</si>
  <si>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</si>
  <si>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</si>
  <si>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</si>
  <si>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</si>
  <si>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</si>
  <si>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</si>
  <si>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</si>
  <si>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</si>
  <si>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</si>
  <si>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</si>
  <si>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</si>
  <si>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</si>
  <si>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</si>
  <si>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</si>
  <si>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</si>
  <si>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</si>
  <si>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</si>
  <si>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</si>
  <si>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</si>
  <si>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</si>
  <si>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</si>
  <si>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</si>
  <si>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</si>
  <si>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</si>
  <si>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</si>
  <si>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</si>
  <si>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</si>
  <si>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</si>
  <si>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</si>
  <si>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</si>
  <si>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</si>
  <si>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</si>
  <si>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</si>
  <si>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</si>
  <si>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</si>
  <si>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</si>
  <si>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</si>
  <si>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</si>
  <si>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</si>
  <si>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</si>
  <si>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</si>
  <si>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</si>
  <si>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</si>
  <si>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</si>
  <si>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</si>
  <si>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</si>
  <si>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</si>
  <si>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</si>
  <si>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</si>
  <si>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</si>
  <si>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</si>
  <si>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</si>
  <si>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</si>
  <si>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</si>
  <si>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</si>
  <si>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</si>
  <si>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</si>
  <si>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</si>
  <si>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</si>
  <si>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</si>
  <si>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</si>
  <si>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</si>
  <si>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</si>
  <si>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</si>
  <si>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</si>
  <si>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</si>
  <si>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</si>
  <si>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</si>
  <si>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</si>
  <si>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</si>
  <si>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</si>
  <si>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</si>
  <si>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</si>
  <si>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</si>
  <si>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</si>
  <si>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</si>
  <si>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</si>
  <si>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</si>
  <si>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</si>
  <si>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</si>
  <si>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</si>
  <si>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</si>
  <si>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</si>
  <si>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</si>
  <si>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</si>
  <si>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</si>
  <si>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</si>
  <si>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</si>
  <si>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</si>
  <si>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</si>
  <si>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</si>
  <si>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</si>
  <si>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</si>
  <si>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</si>
  <si>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</si>
  <si>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</si>
  <si>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</si>
  <si>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</si>
  <si>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</si>
  <si>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</si>
  <si>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</si>
  <si>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</si>
  <si>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</si>
  <si>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</si>
  <si>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</si>
  <si>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</si>
  <si>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</si>
  <si>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</si>
  <si>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</si>
  <si>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</si>
  <si>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</si>
  <si>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</si>
  <si>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</si>
  <si>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</si>
  <si>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</si>
  <si>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</si>
  <si>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</si>
  <si>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</si>
  <si>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</si>
  <si>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</si>
  <si>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</si>
  <si>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</si>
  <si>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</si>
  <si>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</si>
  <si>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</si>
  <si>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</si>
  <si>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</si>
  <si>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</si>
  <si>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</si>
  <si>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</si>
  <si>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</si>
  <si>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</si>
  <si>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</si>
  <si>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</si>
  <si>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</si>
  <si>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</si>
  <si>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</si>
  <si>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</si>
  <si>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</si>
  <si>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</si>
  <si>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</si>
  <si>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</si>
  <si>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</si>
  <si>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</si>
  <si>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</si>
  <si>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</si>
  <si>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</si>
  <si>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</si>
  <si>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</si>
  <si>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</si>
  <si>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</si>
  <si>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</si>
  <si>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</si>
  <si>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</si>
  <si>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</si>
  <si>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</si>
  <si>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</si>
  <si>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</si>
  <si>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</si>
  <si>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</si>
  <si>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</si>
  <si>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</si>
  <si>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</si>
  <si>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</si>
  <si>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</si>
  <si>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</si>
  <si>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</si>
  <si>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</si>
  <si>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</si>
  <si>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</si>
  <si>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</si>
  <si>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</si>
  <si>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</si>
  <si>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</si>
  <si>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</si>
  <si>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</si>
  <si>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</si>
  <si>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</si>
  <si>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</si>
  <si>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</si>
  <si>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</si>
  <si>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</si>
  <si>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</si>
  <si>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</si>
  <si>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</si>
  <si>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</si>
  <si>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</si>
  <si>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</si>
  <si>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</si>
  <si>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</si>
  <si>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</si>
  <si>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</si>
  <si>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</si>
  <si>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</si>
  <si>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</si>
  <si>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</si>
  <si>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</si>
  <si>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</si>
  <si>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</si>
  <si>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</si>
  <si>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</si>
  <si>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</si>
  <si>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</si>
  <si>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</si>
  <si>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</si>
  <si>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</si>
  <si>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</si>
  <si>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</si>
  <si>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</si>
  <si>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</si>
  <si>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</si>
  <si>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</si>
  <si>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</si>
  <si>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</si>
  <si>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</si>
  <si>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</si>
  <si>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</si>
  <si>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</si>
  <si>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</si>
  <si>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</si>
  <si>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</si>
  <si>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</si>
  <si>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</si>
  <si>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</si>
  <si>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</si>
  <si>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</si>
  <si>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</si>
  <si>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</si>
  <si>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</si>
  <si>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</si>
  <si>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</si>
  <si>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</si>
  <si>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</si>
  <si>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</si>
  <si>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</si>
  <si>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</si>
  <si>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</si>
  <si>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</si>
  <si>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</si>
  <si>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</si>
  <si>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</si>
  <si>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</si>
  <si>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</si>
  <si>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</si>
  <si>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</si>
  <si>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</si>
  <si>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</si>
  <si>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</si>
  <si>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</si>
  <si>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</si>
  <si>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</si>
  <si>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</si>
  <si>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</si>
  <si>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</si>
  <si>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</si>
  <si>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</si>
  <si>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</si>
  <si>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</si>
  <si>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</si>
  <si>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</si>
  <si>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</si>
  <si>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</si>
  <si>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</si>
  <si>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</si>
  <si>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</si>
  <si>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</si>
  <si>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</si>
  <si>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</si>
  <si>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</si>
  <si>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</si>
  <si>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</si>
  <si>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</si>
  <si>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</si>
  <si>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</si>
  <si>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</si>
  <si>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</si>
  <si>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</si>
  <si>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</si>
  <si>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</si>
  <si>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</si>
  <si>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</si>
  <si>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</si>
  <si>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</si>
  <si>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</si>
  <si>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</si>
  <si>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</si>
  <si>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</si>
  <si>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</si>
  <si>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</si>
  <si>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</si>
  <si>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</si>
  <si>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</si>
  <si>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</si>
  <si>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</si>
  <si>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</si>
  <si>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</si>
  <si>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</si>
  <si>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</si>
  <si>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</si>
  <si>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</si>
  <si>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</si>
  <si>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</si>
  <si>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</si>
  <si>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</si>
  <si>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</si>
  <si>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</si>
  <si>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</si>
  <si>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</si>
  <si>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</si>
  <si>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</si>
  <si>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</si>
  <si>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</si>
  <si>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</si>
  <si>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</si>
  <si>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</si>
  <si>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</si>
  <si>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</si>
  <si>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</si>
  <si>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</si>
  <si>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</si>
  <si>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</si>
  <si>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</si>
  <si>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</si>
  <si>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</si>
  <si>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</si>
  <si>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</si>
  <si>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</si>
  <si>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</si>
  <si>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</si>
  <si>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</si>
  <si>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</si>
  <si>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</si>
  <si>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</si>
  <si>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</si>
  <si>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</si>
  <si>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</si>
  <si>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</si>
  <si>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</si>
  <si>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</si>
  <si>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</si>
  <si>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</si>
  <si>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</si>
  <si>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</si>
  <si>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</si>
  <si>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</si>
  <si>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</si>
  <si>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</si>
  <si>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</si>
  <si>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</si>
  <si>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</si>
  <si>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</si>
  <si>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</si>
  <si>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</si>
  <si>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</si>
  <si>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</si>
  <si>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</si>
  <si>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</si>
  <si>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</si>
  <si>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</si>
  <si>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</si>
  <si>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</si>
  <si>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</si>
  <si>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</si>
  <si>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</si>
  <si>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</si>
  <si>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</si>
  <si>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</si>
  <si>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</si>
  <si>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</si>
  <si>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</si>
  <si>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</si>
  <si>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</si>
  <si>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</si>
  <si>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</si>
  <si>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</si>
  <si>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</si>
  <si>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</si>
  <si>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</si>
  <si>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</si>
  <si>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</si>
  <si>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</si>
  <si>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</si>
  <si>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</si>
  <si>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</si>
  <si>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</si>
  <si>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</si>
  <si>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</si>
  <si>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</si>
  <si>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</si>
  <si>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</si>
  <si>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</si>
  <si>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</si>
  <si>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</si>
  <si>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</si>
  <si>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</si>
  <si>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</si>
  <si>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</si>
  <si>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</si>
  <si>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</si>
  <si>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</si>
  <si>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</si>
  <si>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</si>
  <si>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</si>
  <si>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</si>
  <si>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</si>
  <si>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</si>
  <si>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</si>
  <si>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</si>
  <si>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</si>
  <si>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</si>
  <si>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</si>
  <si>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</si>
  <si>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</si>
  <si>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</si>
  <si>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</si>
  <si>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</si>
  <si>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</si>
  <si>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</si>
  <si>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</si>
  <si>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</si>
  <si>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</si>
  <si>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</si>
  <si>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</si>
  <si>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</si>
  <si>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</si>
  <si>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</si>
  <si>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</si>
  <si>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</si>
  <si>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</si>
  <si>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</si>
  <si>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</si>
  <si>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</si>
  <si>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</si>
  <si>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</si>
  <si>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</si>
  <si>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</si>
  <si>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</si>
  <si>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</si>
  <si>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</si>
  <si>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</si>
  <si>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</si>
  <si>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</si>
  <si>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</si>
  <si>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</si>
  <si>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</si>
  <si>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</si>
  <si>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</si>
  <si>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</si>
  <si>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</si>
  <si>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</si>
  <si>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</si>
  <si>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</si>
  <si>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</si>
  <si>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</si>
  <si>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</si>
  <si>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</si>
  <si>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</si>
  <si>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</si>
  <si>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</si>
  <si>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</si>
  <si>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</si>
  <si>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</si>
  <si>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</si>
  <si>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</si>
  <si>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</si>
  <si>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</si>
  <si>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</si>
  <si>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</si>
  <si>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</si>
  <si>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</si>
  <si>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</si>
  <si>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</si>
  <si>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</si>
  <si>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</si>
  <si>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</si>
  <si>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</si>
  <si>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</si>
  <si>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</si>
  <si>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</si>
  <si>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</si>
  <si>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</si>
  <si>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</si>
  <si>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</si>
  <si>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</si>
  <si>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</si>
  <si>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</si>
  <si>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</si>
  <si>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</si>
  <si>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</si>
  <si>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</si>
  <si>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</si>
  <si>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</si>
  <si>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</si>
  <si>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</si>
  <si>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</si>
  <si>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</si>
  <si>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</si>
  <si>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</si>
  <si>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</si>
  <si>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</si>
  <si>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</si>
  <si>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</si>
  <si>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</si>
  <si>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</si>
  <si>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</si>
  <si>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</si>
  <si>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</si>
  <si>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</si>
  <si>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</si>
  <si>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</si>
  <si>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</si>
  <si>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</si>
  <si>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</si>
  <si>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</si>
  <si>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</si>
  <si>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</si>
  <si>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</si>
  <si>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</si>
  <si>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</si>
  <si>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</si>
  <si>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</si>
  <si>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</si>
  <si>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</si>
  <si>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</si>
  <si>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</si>
  <si>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</si>
  <si>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</si>
  <si>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</si>
  <si>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</si>
  <si>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</si>
  <si>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</si>
  <si>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</si>
  <si>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</si>
  <si>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</si>
  <si>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</si>
  <si>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</si>
  <si>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</si>
  <si>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</si>
  <si>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</si>
  <si>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</si>
  <si>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</si>
  <si>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</si>
  <si>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</si>
  <si>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</si>
  <si>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</si>
  <si>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</si>
  <si>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</si>
  <si>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</si>
  <si>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</si>
  <si>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</si>
  <si>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</si>
  <si>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</si>
  <si>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</si>
  <si>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</si>
  <si>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</si>
  <si>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</si>
  <si>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</si>
  <si>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</si>
  <si>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</si>
  <si>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</si>
  <si>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</si>
  <si>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</si>
  <si>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</si>
  <si>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</si>
  <si>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</si>
  <si>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</si>
  <si>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</si>
  <si>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</si>
  <si>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</si>
  <si>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</si>
  <si>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</si>
  <si>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</si>
  <si>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</si>
  <si>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</si>
  <si>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</si>
  <si>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</si>
  <si>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</si>
  <si>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</si>
  <si>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</si>
  <si>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</si>
  <si>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</si>
  <si>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</si>
  <si>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</si>
  <si>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</si>
  <si>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</si>
  <si>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</si>
  <si>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</si>
  <si>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</si>
  <si>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</si>
  <si>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</si>
  <si>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</si>
  <si>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</si>
  <si>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</si>
  <si>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</si>
  <si>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</si>
  <si>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</si>
  <si>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</si>
  <si>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</si>
  <si>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</si>
  <si>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</si>
  <si>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</si>
  <si>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</si>
  <si>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</si>
  <si>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</si>
  <si>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</si>
  <si>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</si>
  <si>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</si>
  <si>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</si>
  <si>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</si>
  <si>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</si>
  <si>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</si>
  <si>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</si>
  <si>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</si>
  <si>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</si>
  <si>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</si>
  <si>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</si>
  <si>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</si>
  <si>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</si>
  <si>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</si>
  <si>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</si>
  <si>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</si>
  <si>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</si>
  <si>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</si>
  <si>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</si>
  <si>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</si>
  <si>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</si>
  <si>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</si>
  <si>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</si>
  <si>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</si>
  <si>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</si>
  <si>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</si>
  <si>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</si>
  <si>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</si>
  <si>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</si>
  <si>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</si>
  <si>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</si>
  <si>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</si>
  <si>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</si>
  <si>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</si>
  <si>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</si>
  <si>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</si>
  <si>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</si>
  <si>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</si>
  <si>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</si>
  <si>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</si>
  <si>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</si>
  <si>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</si>
  <si>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</si>
  <si>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</si>
  <si>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</si>
  <si>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</si>
  <si>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</si>
  <si>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</si>
  <si>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</si>
  <si>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</si>
  <si>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</si>
  <si>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</si>
  <si>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</si>
  <si>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</si>
  <si>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</si>
  <si>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</si>
  <si>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</si>
  <si>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</si>
  <si>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</si>
  <si>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</si>
  <si>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</si>
  <si>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</si>
  <si>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</si>
  <si>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</si>
  <si>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</si>
  <si>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</si>
  <si>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</si>
  <si>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</si>
  <si>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</si>
  <si>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</si>
  <si>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</si>
  <si>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</si>
  <si>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</si>
  <si>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</si>
  <si>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</si>
  <si>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</si>
  <si>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</si>
  <si>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</si>
  <si>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</si>
  <si>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</si>
  <si>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</si>
  <si>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</si>
  <si>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</si>
  <si>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</si>
  <si>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</si>
  <si>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</si>
  <si>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</si>
  <si>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</si>
  <si>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</si>
  <si>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</si>
  <si>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</si>
  <si>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</si>
  <si>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</si>
  <si>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</si>
  <si>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</si>
  <si>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</si>
  <si>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</si>
  <si>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</si>
  <si>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</si>
  <si>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</si>
  <si>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</si>
  <si>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</si>
  <si>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</si>
  <si>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</si>
  <si>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</si>
  <si>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</si>
  <si>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</si>
  <si>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</si>
  <si>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</si>
  <si>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</si>
  <si>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</si>
  <si>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</si>
  <si>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</si>
  <si>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</si>
  <si>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</si>
  <si>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</si>
  <si>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</si>
  <si>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</si>
  <si>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</si>
  <si>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</si>
  <si>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</si>
  <si>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</si>
  <si>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</si>
  <si>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</si>
  <si>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</si>
  <si>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</si>
  <si>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</si>
  <si>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</si>
  <si>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</si>
  <si>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</si>
  <si>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</si>
  <si>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</si>
  <si>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</si>
  <si>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</si>
  <si>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</si>
  <si>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</si>
  <si>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</si>
  <si>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</si>
  <si>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</si>
  <si>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</si>
  <si>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</si>
  <si>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</si>
  <si>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</si>
  <si>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</si>
  <si>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</si>
  <si>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</si>
  <si>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</si>
  <si>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</si>
  <si>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</si>
  <si>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</si>
  <si>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</si>
  <si>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</si>
  <si>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</si>
  <si>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</si>
  <si>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</si>
  <si>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</si>
  <si>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</si>
  <si>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</si>
  <si>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</si>
  <si>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</si>
  <si>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</si>
  <si>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</si>
  <si>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</si>
  <si>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</si>
  <si>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</si>
  <si>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</si>
  <si>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</si>
  <si>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</si>
  <si>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</si>
  <si>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</si>
  <si>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</si>
  <si>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</si>
  <si>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</si>
  <si>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</si>
  <si>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</si>
  <si>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</si>
  <si>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</si>
  <si>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</si>
  <si>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</si>
  <si>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</si>
  <si>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</si>
  <si>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</si>
  <si>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</si>
  <si>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</si>
  <si>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</si>
  <si>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</si>
  <si>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</si>
  <si>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</si>
  <si>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</si>
  <si>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</si>
  <si>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</si>
  <si>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</si>
  <si>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</si>
  <si>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</si>
  <si>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</si>
  <si>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</si>
  <si>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</si>
  <si>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</si>
  <si>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</si>
  <si>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</si>
  <si>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</si>
  <si>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</si>
  <si>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</si>
  <si>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</si>
  <si>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</si>
  <si>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</si>
  <si>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</si>
  <si>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</si>
  <si>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</si>
  <si>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</si>
  <si>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</si>
  <si>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</si>
  <si>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</si>
  <si>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</si>
  <si>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</si>
  <si>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</si>
  <si>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</si>
  <si>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</si>
  <si>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</si>
  <si>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</si>
  <si>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</si>
  <si>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</si>
  <si>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</si>
  <si>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</si>
  <si>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</si>
  <si>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</si>
  <si>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</si>
  <si>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</si>
  <si>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</si>
  <si>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</si>
  <si>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</si>
  <si>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</si>
  <si>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</si>
  <si>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</si>
  <si>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</si>
  <si>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</si>
  <si>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</si>
  <si>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</si>
  <si>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</si>
  <si>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</si>
  <si>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</si>
  <si>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</si>
  <si>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</si>
  <si>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</si>
  <si>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</si>
  <si>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</si>
  <si>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</si>
  <si>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</si>
  <si>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</si>
  <si>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</si>
  <si>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</si>
  <si>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</si>
  <si>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</si>
  <si>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</si>
  <si>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</si>
  <si>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</si>
  <si>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</si>
  <si>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</si>
  <si>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</si>
  <si>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</si>
  <si>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</si>
  <si>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</si>
  <si>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</si>
  <si>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</si>
  <si>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</si>
  <si>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</si>
  <si>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</si>
  <si>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</si>
  <si>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</si>
  <si>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</si>
  <si>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</si>
  <si>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</si>
  <si>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</si>
  <si>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</si>
  <si>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</si>
  <si>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</si>
  <si>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</si>
  <si>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</si>
  <si>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</si>
  <si>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</si>
  <si>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</si>
  <si>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</si>
  <si>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</si>
  <si>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</si>
  <si>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</si>
  <si>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</si>
  <si>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</si>
  <si>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</si>
  <si>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</si>
  <si>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</si>
  <si>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</si>
  <si>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</si>
  <si>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</si>
  <si>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</si>
  <si>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</si>
  <si>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</si>
  <si>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</si>
  <si>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</si>
  <si>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</si>
  <si>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</si>
  <si>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</si>
  <si>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</si>
  <si>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</si>
  <si>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</si>
  <si>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</si>
  <si>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</si>
  <si>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</si>
  <si>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</si>
  <si>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</si>
  <si>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</si>
  <si>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</si>
  <si>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</si>
  <si>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</si>
  <si>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</si>
  <si>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</si>
  <si>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</si>
  <si>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</si>
  <si>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</si>
  <si>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</si>
  <si>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</si>
  <si>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</si>
  <si>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</si>
  <si>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</si>
  <si>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</si>
  <si>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</si>
  <si>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</si>
  <si>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</si>
  <si>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</si>
  <si>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</si>
  <si>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</si>
  <si>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</si>
  <si>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</si>
  <si>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</si>
  <si>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</si>
  <si>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</si>
  <si>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</si>
  <si>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</si>
  <si>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</si>
  <si>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</si>
  <si>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</si>
  <si>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</si>
  <si>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</si>
  <si>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</si>
  <si>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</si>
  <si>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</si>
  <si>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</si>
  <si>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</si>
  <si>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</si>
  <si>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</si>
  <si>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</si>
  <si>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</si>
  <si>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</si>
  <si>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</si>
  <si>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</si>
  <si>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</si>
  <si>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</si>
  <si>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</si>
  <si>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</si>
  <si>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</si>
  <si>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</si>
  <si>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</si>
  <si>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</si>
  <si>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</si>
  <si>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</si>
  <si>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</si>
  <si>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</si>
  <si>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</si>
  <si>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</si>
  <si>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</si>
  <si>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</si>
  <si>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</si>
  <si>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</si>
  <si>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</si>
  <si>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</si>
  <si>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</si>
  <si>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</si>
  <si>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</si>
  <si>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</si>
  <si>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</si>
  <si>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</si>
  <si>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</si>
  <si>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</si>
  <si>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</si>
  <si>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</si>
  <si>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</si>
  <si>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</si>
  <si>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</si>
  <si>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</si>
  <si>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</si>
  <si>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</si>
  <si>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</si>
  <si>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</si>
  <si>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</si>
  <si>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</si>
  <si>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</si>
  <si>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</si>
  <si>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</si>
  <si>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</si>
  <si>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</si>
  <si>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</si>
  <si>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</si>
  <si>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</si>
  <si>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</si>
  <si>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</si>
  <si>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</si>
  <si>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</si>
  <si>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</si>
  <si>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</si>
  <si>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</si>
  <si>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</si>
  <si>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</si>
  <si>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</si>
  <si>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</si>
  <si>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</si>
  <si>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</si>
  <si>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</si>
  <si>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</si>
  <si>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</si>
  <si>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</si>
  <si>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</si>
  <si>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</si>
  <si>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</si>
  <si>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</si>
  <si>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</si>
  <si>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</si>
  <si>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</si>
  <si>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</si>
  <si>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</si>
  <si>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</si>
  <si>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</si>
  <si>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</si>
  <si>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</si>
  <si>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</si>
  <si>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</si>
  <si>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</si>
  <si>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</si>
  <si>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</si>
  <si>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</si>
  <si>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</si>
  <si>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</si>
  <si>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</si>
  <si>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</si>
  <si>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</si>
  <si>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</si>
  <si>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</si>
  <si>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</si>
  <si>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</si>
  <si>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</si>
  <si>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</si>
  <si>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</si>
  <si>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</si>
  <si>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</si>
  <si>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</si>
  <si>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</si>
  <si>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</si>
  <si>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</si>
  <si>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</si>
  <si>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</si>
  <si>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</si>
  <si>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</si>
  <si>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</si>
  <si>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</si>
  <si>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</si>
  <si>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</si>
  <si>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</si>
  <si>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</si>
  <si>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</si>
  <si>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</si>
  <si>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</si>
  <si>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</si>
  <si>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</si>
  <si>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</si>
  <si>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</si>
  <si>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</si>
  <si>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</si>
  <si>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</si>
  <si>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</si>
  <si>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</si>
  <si>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</si>
  <si>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</si>
  <si>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</si>
  <si>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</si>
  <si>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</si>
  <si>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</si>
  <si>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</si>
  <si>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</si>
  <si>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</si>
  <si>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</si>
  <si>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</si>
  <si>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</si>
  <si>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</si>
  <si>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</si>
  <si>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</si>
  <si>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</si>
  <si>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</si>
  <si>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</si>
  <si>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</si>
  <si>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</si>
  <si>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</si>
  <si>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</si>
  <si>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</si>
  <si>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</si>
  <si>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</si>
  <si>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</si>
  <si>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</si>
  <si>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</si>
  <si>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</si>
  <si>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</si>
  <si>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</si>
  <si>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</si>
  <si>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</si>
  <si>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</si>
  <si>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</si>
  <si>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</si>
  <si>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</si>
  <si>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</si>
  <si>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</si>
  <si>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</si>
  <si>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</si>
  <si>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</si>
  <si>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</si>
  <si>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</si>
  <si>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</si>
  <si>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</si>
  <si>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</si>
  <si>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</si>
  <si>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</si>
  <si>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</si>
  <si>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</si>
  <si>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</si>
  <si>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</si>
  <si>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</si>
  <si>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</si>
  <si>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</si>
  <si>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</si>
  <si>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</si>
  <si>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</si>
  <si>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</si>
  <si>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</si>
  <si>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</si>
  <si>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</si>
  <si>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</si>
  <si>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</si>
  <si>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</si>
  <si>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</si>
  <si>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</si>
  <si>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</si>
  <si>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</si>
  <si>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</si>
  <si>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</si>
  <si>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</si>
  <si>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</si>
  <si>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</si>
  <si>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</si>
  <si>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</si>
  <si>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</si>
  <si>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</si>
  <si>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</si>
  <si>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</si>
  <si>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</si>
  <si>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</si>
  <si>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</si>
  <si>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</si>
  <si>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</si>
  <si>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</si>
  <si>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</si>
  <si>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</si>
  <si>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</si>
  <si>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</si>
  <si>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</si>
  <si>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</si>
  <si>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</si>
  <si>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</si>
  <si>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</si>
  <si>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</si>
  <si>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</si>
  <si>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</si>
  <si>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</si>
  <si>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</si>
  <si>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</si>
  <si>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</si>
  <si>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</si>
  <si>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</si>
  <si>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</si>
  <si>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</si>
  <si>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</si>
  <si>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</si>
  <si>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</si>
  <si>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</si>
  <si>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</si>
  <si>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</si>
  <si>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</si>
  <si>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</si>
  <si>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</si>
  <si>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</si>
  <si>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</si>
  <si>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</si>
  <si>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</si>
  <si>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</si>
  <si>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</si>
  <si>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</si>
  <si>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</si>
  <si>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</si>
  <si>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</si>
  <si>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</si>
  <si>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</si>
  <si>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</si>
  <si>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</si>
  <si>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</si>
  <si>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</si>
  <si>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</si>
  <si>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</si>
  <si>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</si>
  <si>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</si>
  <si>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</si>
  <si>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</si>
  <si>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</si>
  <si>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</si>
  <si>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</si>
  <si>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</si>
  <si>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</si>
  <si>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</si>
  <si>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</si>
  <si>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</si>
  <si>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</si>
  <si>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</si>
  <si>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</si>
  <si>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</si>
  <si>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</si>
  <si>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</si>
  <si>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</si>
  <si>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</si>
  <si>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</si>
  <si>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</si>
  <si>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</si>
  <si>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</si>
  <si>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</si>
  <si>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</si>
  <si>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</si>
  <si>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</si>
  <si>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</si>
  <si>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</si>
  <si>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</si>
  <si>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</si>
  <si>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</si>
  <si>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</si>
  <si>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</si>
  <si>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</si>
  <si>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</si>
  <si>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</si>
  <si>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</si>
  <si>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</si>
  <si>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</si>
  <si>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</si>
  <si>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</si>
  <si>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</si>
  <si>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</si>
  <si>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</si>
  <si>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</si>
  <si>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</si>
  <si>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</si>
  <si>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</si>
  <si>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</si>
  <si>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</si>
  <si>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</si>
  <si>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</si>
  <si>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</si>
  <si>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</si>
  <si>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</si>
  <si>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</si>
  <si>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</si>
  <si>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</si>
  <si>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</si>
  <si>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</si>
  <si>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</si>
  <si>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</si>
  <si>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</si>
  <si>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</si>
  <si>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</si>
  <si>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</si>
  <si>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</si>
  <si>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</si>
  <si>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</si>
  <si>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</si>
  <si>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</si>
  <si>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</si>
  <si>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</si>
  <si>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</si>
  <si>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</si>
  <si>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</si>
  <si>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</si>
  <si>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</si>
  <si>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</si>
  <si>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</si>
  <si>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</si>
  <si>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</si>
  <si>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</si>
  <si>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</si>
  <si>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</si>
  <si>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</si>
  <si>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</si>
  <si>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</si>
  <si>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</si>
  <si>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</si>
  <si>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</si>
  <si>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</si>
  <si>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</si>
  <si>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</si>
  <si>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</si>
  <si>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</si>
  <si>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</si>
  <si>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</si>
  <si>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</si>
  <si>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</si>
  <si>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</si>
  <si>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</si>
  <si>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</si>
  <si>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</si>
  <si>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</si>
  <si>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</si>
  <si>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</si>
  <si>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</si>
  <si>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</si>
  <si>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</si>
  <si>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</si>
  <si>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</si>
  <si>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</si>
  <si>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</si>
  <si>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</si>
  <si>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</si>
  <si>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</si>
  <si>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</si>
  <si>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</si>
  <si>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</si>
  <si>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</si>
  <si>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</si>
  <si>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</si>
  <si>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</si>
  <si>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</si>
  <si>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</si>
  <si>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</si>
  <si>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</si>
  <si>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</si>
  <si>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</si>
  <si>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</si>
  <si>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</si>
  <si>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</si>
  <si>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</si>
  <si>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</si>
  <si>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</si>
  <si>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</si>
  <si>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</si>
  <si>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</si>
  <si>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</si>
  <si>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</si>
  <si>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</si>
  <si>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</si>
  <si>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</si>
  <si>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</si>
  <si>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</si>
  <si>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</si>
  <si>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</si>
  <si>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</si>
  <si>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</si>
  <si>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</si>
  <si>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</si>
  <si>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</si>
  <si>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</si>
  <si>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</si>
  <si>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</si>
  <si>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</si>
  <si>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</si>
  <si>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</si>
  <si>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</si>
  <si>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</si>
  <si>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</si>
  <si>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</si>
  <si>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</si>
  <si>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</si>
  <si>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</si>
  <si>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</si>
  <si>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</si>
  <si>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</si>
  <si>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</si>
  <si>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</si>
  <si>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</si>
  <si>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</si>
  <si>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</si>
  <si>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</si>
  <si>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</si>
  <si>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</si>
  <si>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</si>
  <si>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</si>
  <si>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</si>
  <si>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</si>
  <si>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</si>
  <si>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</si>
  <si>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</si>
  <si>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</si>
  <si>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</si>
  <si>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</si>
  <si>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</si>
  <si>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</si>
  <si>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</si>
  <si>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</si>
  <si>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</si>
  <si>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</si>
  <si>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</si>
  <si>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</si>
  <si>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</si>
  <si>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</si>
  <si>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</si>
  <si>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</si>
  <si>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</si>
  <si>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</si>
  <si>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</si>
  <si>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</si>
  <si>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</si>
  <si>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</si>
  <si>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</si>
  <si>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</si>
  <si>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</si>
  <si>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</si>
  <si>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</si>
  <si>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</si>
  <si>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</si>
  <si>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</si>
  <si>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</si>
  <si>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</si>
  <si>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</si>
  <si>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</si>
  <si>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</si>
  <si>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</si>
  <si>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</si>
  <si>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</si>
  <si>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</si>
  <si>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</si>
  <si>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</si>
  <si>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</si>
  <si>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</si>
  <si>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</si>
  <si>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</si>
  <si>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</si>
  <si>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</si>
  <si>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</si>
  <si>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</si>
  <si>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</si>
  <si>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</si>
  <si>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</si>
  <si>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</si>
  <si>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</si>
  <si>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</si>
  <si>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</si>
  <si>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</si>
  <si>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</si>
  <si>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</si>
  <si>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</si>
  <si>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</si>
  <si>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</si>
  <si>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</si>
  <si>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</si>
  <si>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</si>
  <si>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</si>
  <si>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</si>
  <si>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</si>
  <si>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</si>
  <si>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</si>
  <si>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</si>
  <si>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</si>
  <si>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</si>
  <si>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</si>
  <si>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</si>
  <si>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</si>
  <si>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</si>
  <si>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</si>
  <si>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</si>
  <si>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</si>
  <si>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</si>
  <si>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</si>
  <si>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</si>
  <si>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</si>
  <si>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</si>
  <si>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</si>
  <si>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</si>
  <si>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</si>
  <si>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</si>
  <si>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</si>
  <si>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</si>
  <si>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</si>
  <si>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</si>
  <si>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</si>
  <si>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</si>
  <si>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</si>
  <si>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</si>
  <si>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</si>
  <si>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</si>
  <si>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</si>
  <si>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</si>
  <si>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</si>
  <si>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</si>
  <si>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</si>
  <si>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</si>
  <si>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</si>
  <si>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</si>
  <si>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</si>
  <si>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</si>
  <si>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</si>
  <si>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</si>
  <si>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</si>
  <si>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</si>
  <si>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</si>
  <si>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</si>
  <si>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</si>
  <si>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</si>
  <si>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</si>
  <si>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</si>
  <si>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</si>
  <si>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</si>
  <si>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</si>
  <si>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</si>
  <si>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</si>
  <si>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</si>
  <si>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</si>
  <si>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</si>
  <si>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</si>
  <si>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</si>
  <si>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</si>
  <si>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</si>
  <si>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</si>
  <si>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</si>
  <si>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</si>
  <si>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</si>
  <si>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</si>
  <si>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</si>
  <si>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</si>
  <si>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</si>
  <si>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</si>
  <si>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</si>
  <si>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</si>
  <si>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</si>
  <si>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</si>
  <si>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</si>
  <si>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</si>
  <si>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</si>
  <si>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</si>
  <si>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</si>
  <si>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</si>
  <si>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</si>
  <si>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</si>
  <si>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</si>
  <si>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</si>
  <si>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</si>
  <si>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</si>
  <si>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</si>
  <si>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</si>
  <si>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</si>
  <si>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</si>
  <si>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</si>
  <si>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</si>
  <si>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</si>
  <si>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</si>
  <si>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</si>
  <si>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</si>
  <si>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</si>
  <si>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</si>
  <si>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</si>
  <si>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</si>
  <si>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</si>
  <si>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</si>
  <si>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</si>
  <si>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</si>
  <si>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</si>
  <si>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</si>
  <si>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</si>
  <si>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</si>
  <si>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</si>
  <si>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</si>
  <si>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</si>
  <si>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</si>
  <si>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</si>
  <si>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</si>
  <si>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</si>
  <si>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</si>
  <si>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</si>
  <si>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</si>
  <si>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</si>
  <si>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</si>
  <si>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</si>
  <si>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</si>
  <si>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</si>
  <si>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</si>
  <si>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</si>
  <si>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</si>
  <si>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</si>
  <si>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</si>
  <si>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</si>
  <si>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</si>
  <si>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</si>
  <si>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</si>
  <si>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</si>
  <si>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</si>
  <si>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</si>
  <si>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</si>
  <si>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</si>
  <si>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</si>
  <si>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</si>
  <si>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</si>
  <si>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</si>
  <si>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</si>
  <si>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</si>
  <si>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</si>
  <si>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</si>
  <si>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</si>
  <si>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</si>
  <si>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</si>
  <si>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</si>
  <si>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</si>
  <si>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</si>
  <si>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</si>
  <si>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</si>
  <si>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</si>
  <si>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</si>
  <si>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</si>
  <si>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</si>
  <si>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</si>
  <si>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</si>
  <si>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</si>
  <si>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</si>
  <si>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</si>
  <si>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</si>
  <si>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</si>
  <si>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</si>
  <si>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</si>
  <si>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</si>
  <si>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</si>
  <si>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</si>
  <si>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</si>
  <si>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</si>
  <si>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</si>
  <si>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</si>
  <si>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</si>
  <si>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</si>
  <si>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</si>
  <si>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</si>
  <si>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</si>
  <si>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</si>
  <si>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</si>
  <si>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</si>
  <si>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</si>
  <si>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</si>
  <si>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</si>
  <si>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</si>
  <si>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</si>
  <si>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</si>
  <si>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</si>
  <si>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</si>
  <si>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</si>
  <si>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</si>
  <si>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</si>
  <si>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</si>
  <si>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</si>
  <si>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</si>
  <si>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</si>
  <si>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</si>
  <si>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</si>
  <si>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</si>
  <si>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</si>
  <si>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</si>
  <si>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</si>
  <si>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</si>
  <si>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</si>
  <si>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</si>
  <si>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</si>
  <si>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</si>
  <si>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</si>
  <si>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</si>
  <si>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</si>
  <si>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</si>
  <si>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</si>
  <si>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</si>
  <si>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</si>
  <si>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</si>
  <si>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</si>
  <si>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</si>
  <si>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</si>
  <si>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</si>
  <si>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</si>
  <si>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</si>
  <si>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</si>
  <si>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</si>
  <si>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</si>
  <si>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</si>
  <si>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</si>
  <si>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</si>
  <si>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</si>
  <si>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</si>
  <si>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</si>
  <si>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</si>
  <si>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</si>
  <si>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</si>
  <si>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</si>
  <si>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</si>
  <si>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</si>
  <si>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</si>
  <si>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</si>
  <si>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</si>
  <si>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</si>
  <si>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</si>
  <si>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</si>
  <si>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</si>
  <si>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</si>
  <si>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</si>
  <si>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</si>
  <si>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</si>
  <si>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</si>
  <si>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</si>
  <si>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</si>
  <si>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</si>
  <si>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</si>
  <si>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</si>
  <si>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</si>
  <si>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</si>
  <si>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</si>
  <si>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</si>
  <si>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</si>
  <si>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</si>
  <si>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</si>
  <si>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</si>
  <si>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</si>
  <si>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</si>
  <si>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</si>
  <si>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</si>
  <si>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</si>
  <si>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</si>
  <si>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</si>
  <si>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</si>
  <si>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</si>
  <si>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</si>
  <si>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</si>
  <si>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</si>
  <si>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</si>
  <si>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</si>
  <si>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</si>
  <si>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</si>
  <si>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</si>
  <si>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</si>
  <si>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</si>
  <si>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</si>
  <si>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</si>
  <si>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</si>
  <si>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</si>
  <si>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</si>
  <si>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</si>
  <si>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</si>
  <si>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</si>
  <si>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</si>
  <si>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</si>
  <si>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</si>
  <si>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</si>
  <si>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</si>
  <si>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</si>
  <si>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</si>
  <si>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</si>
  <si>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</si>
  <si>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</si>
  <si>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</si>
  <si>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</si>
  <si>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</si>
  <si>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</si>
  <si>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</si>
  <si>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</si>
  <si>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</si>
  <si>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</si>
  <si>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</si>
  <si>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</si>
  <si>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</si>
  <si>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</si>
  <si>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</si>
  <si>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</si>
  <si>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</si>
  <si>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</si>
  <si>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</si>
  <si>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</si>
  <si>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</si>
  <si>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</si>
  <si>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</si>
  <si>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</si>
  <si>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</si>
  <si>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</si>
  <si>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</si>
  <si>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</si>
  <si>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</si>
  <si>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</si>
  <si>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</si>
  <si>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</si>
  <si>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</si>
  <si>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</si>
  <si>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</si>
  <si>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</si>
  <si>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</si>
  <si>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</si>
  <si>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</si>
  <si>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</si>
  <si>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</si>
  <si>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</si>
  <si>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</si>
  <si>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</si>
  <si>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</si>
  <si>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</si>
  <si>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</si>
  <si>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</si>
  <si>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</si>
  <si>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</si>
  <si>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</si>
  <si>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</si>
  <si>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</si>
  <si>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</si>
  <si>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</si>
  <si>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</si>
  <si>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</si>
  <si>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</si>
  <si>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</si>
  <si>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</si>
  <si>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</si>
  <si>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</si>
  <si>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</si>
  <si>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</si>
  <si>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</si>
  <si>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</si>
  <si>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</si>
  <si>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</si>
  <si>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</si>
  <si>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</si>
  <si>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</si>
  <si>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</si>
  <si>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</si>
  <si>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</si>
  <si>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</si>
  <si>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</si>
  <si>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</si>
  <si>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</si>
  <si>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</si>
  <si>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</si>
  <si>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</si>
  <si>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</si>
  <si>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</si>
  <si>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</si>
  <si>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</si>
  <si>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</si>
  <si>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</si>
  <si>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</si>
  <si>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</si>
  <si>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</si>
  <si>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</si>
  <si>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</si>
  <si>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</si>
  <si>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</si>
  <si>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</si>
  <si>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</si>
  <si>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</si>
  <si>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</si>
  <si>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</si>
  <si>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</si>
  <si>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</si>
  <si>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</si>
  <si>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</si>
  <si>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</si>
  <si>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</si>
  <si>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</si>
  <si>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</si>
  <si>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</si>
  <si>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</si>
  <si>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</si>
  <si>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</si>
  <si>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</si>
  <si>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</si>
  <si>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</si>
  <si>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</si>
  <si>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</si>
  <si>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</si>
  <si>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</si>
  <si>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</si>
  <si>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</si>
  <si>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</si>
  <si>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</si>
  <si>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</si>
  <si>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</si>
  <si>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</si>
  <si>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</si>
  <si>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</si>
  <si>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</si>
  <si>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</si>
  <si>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</si>
  <si>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</si>
  <si>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</si>
  <si>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</si>
  <si>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</si>
  <si>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</si>
  <si>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</si>
  <si>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</si>
  <si>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</si>
  <si>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</si>
  <si>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</si>
  <si>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</si>
  <si>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</si>
  <si>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</si>
  <si>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</si>
  <si>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</si>
  <si>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</si>
  <si>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</si>
  <si>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</si>
  <si>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</si>
  <si>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</si>
  <si>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</si>
  <si>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</si>
  <si>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</si>
  <si>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</si>
  <si>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</si>
  <si>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</si>
  <si>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</si>
  <si>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</si>
  <si>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</si>
  <si>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</si>
  <si>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</si>
  <si>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</si>
  <si>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</si>
  <si>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</si>
  <si>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</si>
  <si>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</si>
  <si>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</si>
  <si>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</si>
  <si>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</si>
  <si>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</si>
  <si>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</si>
  <si>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</si>
  <si>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</si>
  <si>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</si>
  <si>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</si>
  <si>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</si>
  <si>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</si>
  <si>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</si>
  <si>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</si>
  <si>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</si>
  <si>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</si>
  <si>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</si>
  <si>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</si>
  <si>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</si>
  <si>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</si>
  <si>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</si>
  <si>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</si>
  <si>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</si>
  <si>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</si>
  <si>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</si>
  <si>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</si>
  <si>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</si>
  <si>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</si>
  <si>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</si>
  <si>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</si>
  <si>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</si>
  <si>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</si>
  <si>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</si>
  <si>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</si>
  <si>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</si>
  <si>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</si>
  <si>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</si>
  <si>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</si>
  <si>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</si>
  <si>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</si>
  <si>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</si>
  <si>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</si>
  <si>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</si>
  <si>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</si>
  <si>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</si>
  <si>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</si>
  <si>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</si>
  <si>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</si>
  <si>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</si>
  <si>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</si>
  <si>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</si>
  <si>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</si>
  <si>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</si>
  <si>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</si>
  <si>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</si>
  <si>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</si>
  <si>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</si>
  <si>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</si>
  <si>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</si>
  <si>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</si>
  <si>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</si>
  <si>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</si>
  <si>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</si>
  <si>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</si>
  <si>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</si>
  <si>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</si>
  <si>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</si>
  <si>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</si>
  <si>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</si>
  <si>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</si>
  <si>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</si>
  <si>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</si>
  <si>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</si>
  <si>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</si>
  <si>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</si>
  <si>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</si>
  <si>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</si>
  <si>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</si>
  <si>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</si>
  <si>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</si>
  <si>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</si>
  <si>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</si>
  <si>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</si>
  <si>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</si>
  <si>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</si>
  <si>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</si>
  <si>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</si>
  <si>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</si>
  <si>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</si>
  <si>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</si>
  <si>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</si>
  <si>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</si>
  <si>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</si>
  <si>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</si>
  <si>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</si>
  <si>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</si>
  <si>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</si>
  <si>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</si>
  <si>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</si>
  <si>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</si>
  <si>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</si>
  <si>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</si>
  <si>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</si>
  <si>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</si>
  <si>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</si>
  <si>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</si>
  <si>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</si>
  <si>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</si>
  <si>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</si>
  <si>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</si>
  <si>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</si>
  <si>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</si>
  <si>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</si>
  <si>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</si>
  <si>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</si>
  <si>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</si>
  <si>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</si>
  <si>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</si>
  <si>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</si>
  <si>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</si>
  <si>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</si>
  <si>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</si>
  <si>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</si>
  <si>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</si>
  <si>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</si>
  <si>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</si>
  <si>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</si>
  <si>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</si>
  <si>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</si>
  <si>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</si>
  <si>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</si>
  <si>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</si>
  <si>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</si>
  <si>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</si>
  <si>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</si>
  <si>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</si>
  <si>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</si>
  <si>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</si>
  <si>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</si>
  <si>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</si>
  <si>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</si>
  <si>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</si>
  <si>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</si>
  <si>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</si>
  <si>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</si>
  <si>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</si>
  <si>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</si>
  <si>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</si>
  <si>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</si>
  <si>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</si>
  <si>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</si>
  <si>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</si>
  <si>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</si>
  <si>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</si>
  <si>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</si>
  <si>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</si>
  <si>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</si>
  <si>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</si>
  <si>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</si>
  <si>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</si>
  <si>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</si>
  <si>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</si>
  <si>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</si>
  <si>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</si>
  <si>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</si>
  <si>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</si>
  <si>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</si>
  <si>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</si>
  <si>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</si>
  <si>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</si>
  <si>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</si>
  <si>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</si>
  <si>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</si>
  <si>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</si>
  <si>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</si>
  <si>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</si>
  <si>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</si>
  <si>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</si>
  <si>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</si>
  <si>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</si>
  <si>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</si>
  <si>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</si>
  <si>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</si>
  <si>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</si>
  <si>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</si>
  <si>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</si>
  <si>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</si>
  <si>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</si>
  <si>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</si>
  <si>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</si>
  <si>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</si>
  <si>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</si>
  <si>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</si>
  <si>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</si>
  <si>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</si>
  <si>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</si>
  <si>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</si>
  <si>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</si>
  <si>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</si>
  <si>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</si>
  <si>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</si>
  <si>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</si>
  <si>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</si>
  <si>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</si>
  <si>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</si>
  <si>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</si>
  <si>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</si>
  <si>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</si>
  <si>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</si>
  <si>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</si>
  <si>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</si>
  <si>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</si>
  <si>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</si>
  <si>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</si>
  <si>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</si>
  <si>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</si>
  <si>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</si>
  <si>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</si>
  <si>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</si>
  <si>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</si>
  <si>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</si>
  <si>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</si>
  <si>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</si>
  <si>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</si>
  <si>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</si>
  <si>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</si>
  <si>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</si>
  <si>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</si>
  <si>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</si>
  <si>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</si>
  <si>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</si>
  <si>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</si>
  <si>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</si>
  <si>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</si>
  <si>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</si>
  <si>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</si>
  <si>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</si>
  <si>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</si>
  <si>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</si>
  <si>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</si>
  <si>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</si>
  <si>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</si>
  <si>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</si>
  <si>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</si>
  <si>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</si>
  <si>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</si>
  <si>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</si>
  <si>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</si>
  <si>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</si>
  <si>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</si>
  <si>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</si>
  <si>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</si>
  <si>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</si>
  <si>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</si>
  <si>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</si>
  <si>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</si>
  <si>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</si>
  <si>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</si>
  <si>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</si>
  <si>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</si>
  <si>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</si>
  <si>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</si>
  <si>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</si>
  <si>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</si>
  <si>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</si>
  <si>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</si>
  <si>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</si>
  <si>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</si>
  <si>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</si>
  <si>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</si>
  <si>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</si>
  <si>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</si>
  <si>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</si>
  <si>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</si>
  <si>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</si>
  <si>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</si>
  <si>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</si>
  <si>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</si>
  <si>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</si>
  <si>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</si>
  <si>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</si>
  <si>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</si>
  <si>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</si>
  <si>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</si>
  <si>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</si>
  <si>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</si>
  <si>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</si>
  <si>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</si>
  <si>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</si>
  <si>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</si>
  <si>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</si>
  <si>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</si>
  <si>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</si>
  <si>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</si>
  <si>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</si>
  <si>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</si>
  <si>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</si>
  <si>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</si>
  <si>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</si>
  <si>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</si>
  <si>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</si>
  <si>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</si>
  <si>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</si>
  <si>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</si>
  <si>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</si>
  <si>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</si>
  <si>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</si>
  <si>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</si>
  <si>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</si>
  <si>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</si>
  <si>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</si>
  <si>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</si>
  <si>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</si>
  <si>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</si>
  <si>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</si>
  <si>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</si>
  <si>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</si>
  <si>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</si>
  <si>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</si>
  <si>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</si>
  <si>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</si>
  <si>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</si>
  <si>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</si>
  <si>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</si>
  <si>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</si>
  <si>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</si>
  <si>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</si>
  <si>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</si>
  <si>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</si>
  <si>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</si>
  <si>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</si>
  <si>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</si>
  <si>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</si>
  <si>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</si>
  <si>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</si>
  <si>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</si>
  <si>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</si>
  <si>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</si>
  <si>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</si>
  <si>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</si>
  <si>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</si>
  <si>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</si>
  <si>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</si>
  <si>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</si>
  <si>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</si>
  <si>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</si>
  <si>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</si>
  <si>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</si>
  <si>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</si>
  <si>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</si>
  <si>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</si>
  <si>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</si>
  <si>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</si>
  <si>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</si>
  <si>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</si>
  <si>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</si>
  <si>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</si>
  <si>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</si>
  <si>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</si>
  <si>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</si>
  <si>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</si>
  <si>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</si>
  <si>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</si>
  <si>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</si>
  <si>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</si>
  <si>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</si>
  <si>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</si>
  <si>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</si>
  <si>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</si>
  <si>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</si>
  <si>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</si>
  <si>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</si>
  <si>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</si>
  <si>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</si>
  <si>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</si>
  <si>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</si>
  <si>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</si>
  <si>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</si>
  <si>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</si>
  <si>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</si>
  <si>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</si>
  <si>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</si>
  <si>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</si>
  <si>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</si>
  <si>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</si>
  <si>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</si>
  <si>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</si>
  <si>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</si>
  <si>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</si>
  <si>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</si>
  <si>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</si>
  <si>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</si>
  <si>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</si>
  <si>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</si>
  <si>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</si>
  <si>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</si>
  <si>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</si>
  <si>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</si>
  <si>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</si>
  <si>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</si>
  <si>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</si>
  <si>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</si>
  <si>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</si>
  <si>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</si>
  <si>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</si>
  <si>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</si>
  <si>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</si>
  <si>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</si>
  <si>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</si>
  <si>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</si>
  <si>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</si>
  <si>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</si>
  <si>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</si>
  <si>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</si>
  <si>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</si>
  <si>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</si>
  <si>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</si>
  <si>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</si>
  <si>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</si>
  <si>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</si>
  <si>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</si>
  <si>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</si>
  <si>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</si>
  <si>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</si>
  <si>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</si>
  <si>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</si>
  <si>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</si>
  <si>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</si>
  <si>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</si>
  <si>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</si>
  <si>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</si>
  <si>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</si>
  <si>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</si>
  <si>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</si>
  <si>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</si>
  <si>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</si>
  <si>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</si>
  <si>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</si>
  <si>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</si>
  <si>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</si>
  <si>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</si>
  <si>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</si>
  <si>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</si>
  <si>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</si>
  <si>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</si>
  <si>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</si>
  <si>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</si>
  <si>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</si>
  <si>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</si>
  <si>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</si>
  <si>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</si>
  <si>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</si>
  <si>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</si>
  <si>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</si>
  <si>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</si>
  <si>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</si>
  <si>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</si>
  <si>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</si>
  <si>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</si>
  <si>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</si>
  <si>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</si>
  <si>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</si>
  <si>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</si>
  <si>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</si>
  <si>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</si>
  <si>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</si>
  <si>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</si>
  <si>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</si>
  <si>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</si>
  <si>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</si>
  <si>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</si>
  <si>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</si>
  <si>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</si>
  <si>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</si>
  <si>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</si>
  <si>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</si>
  <si>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</si>
  <si>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</si>
  <si>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</si>
  <si>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</si>
  <si>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</si>
  <si>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</si>
  <si>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</si>
  <si>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</si>
  <si>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</si>
  <si>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</si>
  <si>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</si>
  <si>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</si>
  <si>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</si>
  <si>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</si>
  <si>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</si>
  <si>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</si>
  <si>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</si>
  <si>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</si>
  <si>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</si>
  <si>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</si>
  <si>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</si>
  <si>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</si>
  <si>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</si>
  <si>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</si>
  <si>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</si>
  <si>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</si>
  <si>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</si>
  <si>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</si>
  <si>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</si>
  <si>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</si>
  <si>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</si>
  <si>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</si>
  <si>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</si>
  <si>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</si>
  <si>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</si>
  <si>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</si>
  <si>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</si>
  <si>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</si>
  <si>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</si>
  <si>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</si>
  <si>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</si>
  <si>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</si>
  <si>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</si>
  <si>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</si>
  <si>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</si>
  <si>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</si>
  <si>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</si>
  <si>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</si>
  <si>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</si>
  <si>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</si>
  <si>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</si>
  <si>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</si>
  <si>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</si>
  <si>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</si>
  <si>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</si>
  <si>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</si>
  <si>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</si>
  <si>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</si>
  <si>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</si>
  <si>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</si>
  <si>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</si>
  <si>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</si>
  <si>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</si>
  <si>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</si>
  <si>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</si>
  <si>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</si>
  <si>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</si>
  <si>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</si>
  <si>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</si>
  <si>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</si>
  <si>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</si>
  <si>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</si>
  <si>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</si>
  <si>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</si>
  <si>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</si>
  <si>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</si>
  <si>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</si>
  <si>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</si>
  <si>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</si>
  <si>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</si>
  <si>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</si>
  <si>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</si>
  <si>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</si>
  <si>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</si>
  <si>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</si>
  <si>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</si>
  <si>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</si>
  <si>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</si>
  <si>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</si>
  <si>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</si>
  <si>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</si>
  <si>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</si>
  <si>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</si>
  <si>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</si>
  <si>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</si>
  <si>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</si>
  <si>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</si>
  <si>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</si>
  <si>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</si>
  <si>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</si>
  <si>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</si>
  <si>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</si>
  <si>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</si>
  <si>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</si>
  <si>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</si>
  <si>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</si>
  <si>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</si>
  <si>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</si>
  <si>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</si>
  <si>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</si>
  <si>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</si>
  <si>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</si>
  <si>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</si>
  <si>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</si>
  <si>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</si>
  <si>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</si>
  <si>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</si>
  <si>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</si>
  <si>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</si>
  <si>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</si>
  <si>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</si>
  <si>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</si>
  <si>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</si>
  <si>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</si>
  <si>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</si>
  <si>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</si>
  <si>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</si>
  <si>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</si>
  <si>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</si>
  <si>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</si>
  <si>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</si>
  <si>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</si>
  <si>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</si>
  <si>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</si>
  <si>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</si>
  <si>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</si>
  <si>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</si>
  <si>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</si>
  <si>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</si>
  <si>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</si>
  <si>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</si>
  <si>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</si>
  <si>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</si>
  <si>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</si>
  <si>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</si>
  <si>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</si>
  <si>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</si>
  <si>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</si>
  <si>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</si>
  <si>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</si>
  <si>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</si>
  <si>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</si>
  <si>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</si>
  <si>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</si>
  <si>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</si>
  <si>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</si>
  <si>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</si>
  <si>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</si>
  <si>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</si>
  <si>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</si>
  <si>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</si>
  <si>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</si>
  <si>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</si>
  <si>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</si>
  <si>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</si>
  <si>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</si>
  <si>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</si>
  <si>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</si>
  <si>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</si>
  <si>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</si>
  <si>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</si>
  <si>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</si>
  <si>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</si>
  <si>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</si>
  <si>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</si>
  <si>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</si>
  <si>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</si>
  <si>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</si>
  <si>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</si>
  <si>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</si>
  <si>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</si>
  <si>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</si>
  <si>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</si>
  <si>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</si>
  <si>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</si>
  <si>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</si>
  <si>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</si>
  <si>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</si>
  <si>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</si>
  <si>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</si>
  <si>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</si>
  <si>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</si>
  <si>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</si>
  <si>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</si>
  <si>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</si>
  <si>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</si>
  <si>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</si>
  <si>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</si>
  <si>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</si>
  <si>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</si>
  <si>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</si>
  <si>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</si>
  <si>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</si>
  <si>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</si>
  <si>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</si>
  <si>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</si>
  <si>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</si>
  <si>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</si>
  <si>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</si>
  <si>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</si>
  <si>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</si>
  <si>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</si>
  <si>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</si>
  <si>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</si>
  <si>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</si>
  <si>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</si>
  <si>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</si>
  <si>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</si>
  <si>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</si>
  <si>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</si>
  <si>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</si>
  <si>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</si>
  <si>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</si>
  <si>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</si>
  <si>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</si>
  <si>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</si>
  <si>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</si>
  <si>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</si>
  <si>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</si>
  <si>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</si>
  <si>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</si>
  <si>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</si>
  <si>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</si>
  <si>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</si>
  <si>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</si>
  <si>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</si>
  <si>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</si>
  <si>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</si>
  <si>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</si>
  <si>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</si>
  <si>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</si>
  <si>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</si>
  <si>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</si>
  <si>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</si>
  <si>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</si>
  <si>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</si>
  <si>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</si>
  <si>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</si>
  <si>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</si>
  <si>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</si>
  <si>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</si>
  <si>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</si>
  <si>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</si>
  <si>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</si>
  <si>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</si>
  <si>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</si>
  <si>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</si>
  <si>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</si>
  <si>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</si>
  <si>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</si>
  <si>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</si>
  <si>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</si>
  <si>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</si>
  <si>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</si>
  <si>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</si>
  <si>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</si>
  <si>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</si>
  <si>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</si>
  <si>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</si>
  <si>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</si>
  <si>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</si>
  <si>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</si>
  <si>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</si>
  <si>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</si>
  <si>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</si>
  <si>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</si>
  <si>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</si>
  <si>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</si>
  <si>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</si>
  <si>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</si>
  <si>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</si>
  <si>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</si>
  <si>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</si>
  <si>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</si>
  <si>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</si>
  <si>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</si>
  <si>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</si>
  <si>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</si>
  <si>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</si>
  <si>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</si>
  <si>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</si>
  <si>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</si>
  <si>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</si>
  <si>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</si>
  <si>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</si>
  <si>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</si>
  <si>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</si>
  <si>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</si>
  <si>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</si>
  <si>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</si>
  <si>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</si>
  <si>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</si>
  <si>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</si>
  <si>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</si>
  <si>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</si>
  <si>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</si>
  <si>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</si>
  <si>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</si>
  <si>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</si>
  <si>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</si>
  <si>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</si>
  <si>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</si>
  <si>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</si>
  <si>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</si>
  <si>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</si>
  <si>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</si>
  <si>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</si>
  <si>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</si>
  <si>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</si>
  <si>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</si>
  <si>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</si>
  <si>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</si>
  <si>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</si>
  <si>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</si>
  <si>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</si>
  <si>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</si>
  <si>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</si>
  <si>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</si>
  <si>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</si>
  <si>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</si>
  <si>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</si>
  <si>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</si>
  <si>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</si>
  <si>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</si>
  <si>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</si>
  <si>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</si>
  <si>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</si>
  <si>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</si>
  <si>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</si>
  <si>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</si>
  <si>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</si>
  <si>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</si>
  <si>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</si>
  <si>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</si>
  <si>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</si>
  <si>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</si>
  <si>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</si>
  <si>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</si>
  <si>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</si>
  <si>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</si>
  <si>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</si>
  <si>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</si>
  <si>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</si>
  <si>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</si>
  <si>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</si>
  <si>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</si>
  <si>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</si>
  <si>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</si>
  <si>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</si>
  <si>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</si>
  <si>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</si>
  <si>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</si>
  <si>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</si>
  <si>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</si>
  <si>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</si>
  <si>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</si>
  <si>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</si>
  <si>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</si>
  <si>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</si>
  <si>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</si>
  <si>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</si>
  <si>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</si>
  <si>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</si>
  <si>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</si>
  <si>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</si>
  <si>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</si>
  <si>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</si>
  <si>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</si>
  <si>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</si>
  <si>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</si>
  <si>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</si>
  <si>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</si>
  <si>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</si>
  <si>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</si>
  <si>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</si>
  <si>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</si>
  <si>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</si>
  <si>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</si>
  <si>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</si>
  <si>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</si>
  <si>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</si>
  <si>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</si>
  <si>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</si>
  <si>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</si>
  <si>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</si>
  <si>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</si>
  <si>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</si>
  <si>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</si>
  <si>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</si>
  <si>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</si>
  <si>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</si>
  <si>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</si>
  <si>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</si>
  <si>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</si>
  <si>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</si>
  <si>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</si>
  <si>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</si>
  <si>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</si>
  <si>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</si>
  <si>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</si>
  <si>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</si>
  <si>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</si>
  <si>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</si>
  <si>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</si>
  <si>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</si>
  <si>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</si>
  <si>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</si>
  <si>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</si>
  <si>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</si>
  <si>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</si>
  <si>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</si>
  <si>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</si>
  <si>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</si>
  <si>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</si>
  <si>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</si>
  <si>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</si>
  <si>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</si>
  <si>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</si>
  <si>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</si>
  <si>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</si>
  <si>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</si>
  <si>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</si>
  <si>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</si>
  <si>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</si>
  <si>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</si>
  <si>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</si>
  <si>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</si>
  <si>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</si>
  <si>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</si>
  <si>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</si>
  <si>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</si>
  <si>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</si>
  <si>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</si>
  <si>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</si>
  <si>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</si>
  <si>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</si>
  <si>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</si>
  <si>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</si>
  <si>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</si>
  <si>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</si>
  <si>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</si>
  <si>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</si>
  <si>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</si>
  <si>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</si>
  <si>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</si>
  <si>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</si>
  <si>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</si>
  <si>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</si>
  <si>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</si>
  <si>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</si>
  <si>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</si>
  <si>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</si>
  <si>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</si>
  <si>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</si>
  <si>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</si>
  <si>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</si>
  <si>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</si>
  <si>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</si>
  <si>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</si>
  <si>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</si>
  <si>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</si>
  <si>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</si>
  <si>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</si>
  <si>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</si>
  <si>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</si>
  <si>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</si>
  <si>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</si>
  <si>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</si>
  <si>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</si>
  <si>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</si>
  <si>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</si>
  <si>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</si>
  <si>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</si>
  <si>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</si>
  <si>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</si>
  <si>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</si>
  <si>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</si>
  <si>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</si>
  <si>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</si>
  <si>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</si>
  <si>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</si>
  <si>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</si>
  <si>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</si>
  <si>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</si>
  <si>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</si>
  <si>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</si>
  <si>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</si>
  <si>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</si>
  <si>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</si>
  <si>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</si>
  <si>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</si>
  <si>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</si>
  <si>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</si>
  <si>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</si>
  <si>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</si>
  <si>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</si>
  <si>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</si>
  <si>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</si>
  <si>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</si>
  <si>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</si>
  <si>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</si>
  <si>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</si>
  <si>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</si>
  <si>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</si>
  <si>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</si>
  <si>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</si>
  <si>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</si>
  <si>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</si>
  <si>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</si>
  <si>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</si>
  <si>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</si>
  <si>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</si>
  <si>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</si>
  <si>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</si>
  <si>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</si>
  <si>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</si>
  <si>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</si>
  <si>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</si>
  <si>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</si>
  <si>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</si>
  <si>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</si>
  <si>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</si>
  <si>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</si>
  <si>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</si>
  <si>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</si>
  <si>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</si>
  <si>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</si>
  <si>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</si>
  <si>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</si>
  <si>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</si>
  <si>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</si>
  <si>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</si>
  <si>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</si>
  <si>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</si>
  <si>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</si>
  <si>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</si>
  <si>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</si>
  <si>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</si>
  <si>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</si>
  <si>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</si>
  <si>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</si>
  <si>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</si>
  <si>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</si>
  <si>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</si>
  <si>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</si>
  <si>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</si>
  <si>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</si>
  <si>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</si>
  <si>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</si>
  <si>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</si>
  <si>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</si>
  <si>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</si>
  <si>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</si>
  <si>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</si>
  <si>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</si>
  <si>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</si>
  <si>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</si>
  <si>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</si>
  <si>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</si>
  <si>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</si>
  <si>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</si>
  <si>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</si>
  <si>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</si>
  <si>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</si>
  <si>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</si>
  <si>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</si>
  <si>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</si>
  <si>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</si>
  <si>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</si>
  <si>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</si>
  <si>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</si>
  <si>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</si>
  <si>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</si>
  <si>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</si>
  <si>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</si>
  <si>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</si>
  <si>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</si>
  <si>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</si>
  <si>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</si>
  <si>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</si>
  <si>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</si>
  <si>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</si>
  <si>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</si>
  <si>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</si>
  <si>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</si>
  <si>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</si>
  <si>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</si>
  <si>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</si>
  <si>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</si>
  <si>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</si>
  <si>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</si>
  <si>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</si>
  <si>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</si>
  <si>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</si>
  <si>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</si>
  <si>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</si>
  <si>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</si>
  <si>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</si>
  <si>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</si>
  <si>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</si>
  <si>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</si>
  <si>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</si>
  <si>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</si>
  <si>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</si>
  <si>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</si>
  <si>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</si>
  <si>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</si>
  <si>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</si>
  <si>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</si>
  <si>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</si>
  <si>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</si>
  <si>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</si>
  <si>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</si>
  <si>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</si>
  <si>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</si>
  <si>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</si>
  <si>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</si>
  <si>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</si>
  <si>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</si>
  <si>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</si>
  <si>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</si>
  <si>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</si>
  <si>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</si>
  <si>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</si>
  <si>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</si>
  <si>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</si>
  <si>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</si>
  <si>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</si>
  <si>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</si>
  <si>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</si>
  <si>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</si>
  <si>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</si>
  <si>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</si>
  <si>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</si>
  <si>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</si>
  <si>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</si>
  <si>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</si>
  <si>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</si>
  <si>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</si>
  <si>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</si>
  <si>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</si>
  <si>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</si>
  <si>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</si>
  <si>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</si>
  <si>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</si>
  <si>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</si>
  <si>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</si>
  <si>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</si>
  <si>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</si>
  <si>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</si>
  <si>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</si>
  <si>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</si>
  <si>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</si>
  <si>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</si>
  <si>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</si>
  <si>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</si>
  <si>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</si>
  <si>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</si>
  <si>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</si>
  <si>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</si>
  <si>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</si>
  <si>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</si>
  <si>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</si>
  <si>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</si>
  <si>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</si>
  <si>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</si>
  <si>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</si>
  <si>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</si>
  <si>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</si>
  <si>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</si>
  <si>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</si>
  <si>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</si>
  <si>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</si>
  <si>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</si>
  <si>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</si>
  <si>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</si>
  <si>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</si>
  <si>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</si>
  <si>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</si>
  <si>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</si>
  <si>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</si>
  <si>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</si>
  <si>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</si>
  <si>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</si>
  <si>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</si>
  <si>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</si>
  <si>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</si>
  <si>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</si>
  <si>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</si>
  <si>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</si>
  <si>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</si>
  <si>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</si>
  <si>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</si>
  <si>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</si>
  <si>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</si>
  <si>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</si>
  <si>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</si>
  <si>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</si>
  <si>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</si>
  <si>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</si>
  <si>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</si>
  <si>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</si>
  <si>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</si>
  <si>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</si>
  <si>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</si>
  <si>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</si>
  <si>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</si>
  <si>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</si>
  <si>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</si>
  <si>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</si>
  <si>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</si>
  <si>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</si>
  <si>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</si>
  <si>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</si>
  <si>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</si>
  <si>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</si>
  <si>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</si>
  <si>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</si>
  <si>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</si>
  <si>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</si>
  <si>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</si>
  <si>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</si>
  <si>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</si>
  <si>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</si>
  <si>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</si>
  <si>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</si>
  <si>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</si>
  <si>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</si>
  <si>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</si>
  <si>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</si>
  <si>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</si>
  <si>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</si>
  <si>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</si>
  <si>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</si>
  <si>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</si>
  <si>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</si>
  <si>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</si>
  <si>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</si>
  <si>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</si>
  <si>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</si>
  <si>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</si>
  <si>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</si>
  <si>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</si>
  <si>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</si>
  <si>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</si>
  <si>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</si>
  <si>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</si>
  <si>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</si>
  <si>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</si>
  <si>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</si>
  <si>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</si>
  <si>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</si>
  <si>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</si>
  <si>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</si>
  <si>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</si>
  <si>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</si>
  <si>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</si>
  <si>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</si>
  <si>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</si>
  <si>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</si>
  <si>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</si>
  <si>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</si>
  <si>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</si>
  <si>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</si>
  <si>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</si>
  <si>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</si>
  <si>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</si>
  <si>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</si>
  <si>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</si>
  <si>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</si>
  <si>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</si>
  <si>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</si>
  <si>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</si>
  <si>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</si>
  <si>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</si>
  <si>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</si>
  <si>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</si>
  <si>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</si>
  <si>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</si>
  <si>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</si>
  <si>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</si>
  <si>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</si>
  <si>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</si>
  <si>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</si>
  <si>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</si>
  <si>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</si>
  <si>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</si>
  <si>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</si>
  <si>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</si>
  <si>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</si>
  <si>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</si>
  <si>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</si>
  <si>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</si>
  <si>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</si>
  <si>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</si>
  <si>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</si>
  <si>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</si>
  <si>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</si>
  <si>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</si>
  <si>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</si>
  <si>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</si>
  <si>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</si>
  <si>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</si>
  <si>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</si>
  <si>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</si>
  <si>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</si>
  <si>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</si>
  <si>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</si>
  <si>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</si>
  <si>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</si>
  <si>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</si>
  <si>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</si>
  <si>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</si>
  <si>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</si>
  <si>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</si>
  <si>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</si>
  <si>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</si>
  <si>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</si>
  <si>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</si>
  <si>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</si>
  <si>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</si>
  <si>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</si>
  <si>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</si>
  <si>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</si>
  <si>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</si>
  <si>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</si>
  <si>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</si>
  <si>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</si>
  <si>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</si>
  <si>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</si>
  <si>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</si>
  <si>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</si>
  <si>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</si>
  <si>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</si>
  <si>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</si>
  <si>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</si>
  <si>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</si>
  <si>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</si>
  <si>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</si>
  <si>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</si>
  <si>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</si>
  <si>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</si>
  <si>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</si>
  <si>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</si>
  <si>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</si>
  <si>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</si>
  <si>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</si>
  <si>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</si>
  <si>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</si>
  <si>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</si>
  <si>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</si>
  <si>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</si>
  <si>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</si>
  <si>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</si>
  <si>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</si>
  <si>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</si>
  <si>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</si>
  <si>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</si>
  <si>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</si>
  <si>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</si>
  <si>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</si>
  <si>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</si>
  <si>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</si>
  <si>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</si>
  <si>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</si>
  <si>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</si>
  <si>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</si>
  <si>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</si>
  <si>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</si>
  <si>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</si>
  <si>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</si>
  <si>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</si>
  <si>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</si>
  <si>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</si>
  <si>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</si>
  <si>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</si>
  <si>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</si>
  <si>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</si>
  <si>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</si>
  <si>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</si>
  <si>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</si>
  <si>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</si>
  <si>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</si>
  <si>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</si>
  <si>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</si>
  <si>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</si>
  <si>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</si>
  <si>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</si>
  <si>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</si>
  <si>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</si>
  <si>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</si>
  <si>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</si>
  <si>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</si>
  <si>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</si>
  <si>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</si>
  <si>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</si>
  <si>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</si>
  <si>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</si>
  <si>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</si>
  <si>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</si>
  <si>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</si>
  <si>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</si>
  <si>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</si>
  <si>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</si>
  <si>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</si>
  <si>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</si>
  <si>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</si>
  <si>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</si>
  <si>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</si>
  <si>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</si>
  <si>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</si>
  <si>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</si>
  <si>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</si>
  <si>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</si>
  <si>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</si>
  <si>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</si>
  <si>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</si>
  <si>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</si>
  <si>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</si>
  <si>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</si>
  <si>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</si>
  <si>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</si>
  <si>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</si>
  <si>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</si>
  <si>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</si>
  <si>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</si>
  <si>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</si>
  <si>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</si>
  <si>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</si>
  <si>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</si>
  <si>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</si>
  <si>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</si>
  <si>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</si>
  <si>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</si>
  <si>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</si>
  <si>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</si>
  <si>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</si>
  <si>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</si>
  <si>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</si>
  <si>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</si>
  <si>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</si>
  <si>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</si>
  <si>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</si>
  <si>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</si>
  <si>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</si>
  <si>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</si>
  <si>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</si>
  <si>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</si>
  <si>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</si>
  <si>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</si>
  <si>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</si>
  <si>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</si>
  <si>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</si>
  <si>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</si>
  <si>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</si>
  <si>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</si>
  <si>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</si>
  <si>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</si>
  <si>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</si>
  <si>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</si>
  <si>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</si>
  <si>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</si>
  <si>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</si>
  <si>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</si>
  <si>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</si>
  <si>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</si>
  <si>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</si>
  <si>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</si>
  <si>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</si>
  <si>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</si>
  <si>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</si>
  <si>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</si>
  <si>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</si>
  <si>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</si>
  <si>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</si>
  <si>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</si>
  <si>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</si>
  <si>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</si>
  <si>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</si>
  <si>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</si>
  <si>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</si>
  <si>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</si>
  <si>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</si>
  <si>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</si>
  <si>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</si>
  <si>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</si>
  <si>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</si>
  <si>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</si>
  <si>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</si>
  <si>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</si>
  <si>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</si>
  <si>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</si>
  <si>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</si>
  <si>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</si>
  <si>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</si>
  <si>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</si>
  <si>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</si>
  <si>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</si>
  <si>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</si>
  <si>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</si>
  <si>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</si>
  <si>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</si>
  <si>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</si>
  <si>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</si>
  <si>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</si>
  <si>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</si>
  <si>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</si>
  <si>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</si>
  <si>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</si>
  <si>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</si>
  <si>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</si>
  <si>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</si>
  <si>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</si>
  <si>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</si>
  <si>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</si>
  <si>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</si>
  <si>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</si>
  <si>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</si>
  <si>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</si>
  <si>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</si>
  <si>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</si>
  <si>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</si>
  <si>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</si>
  <si>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</si>
  <si>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</si>
  <si>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</si>
  <si>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</si>
  <si>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</si>
  <si>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</si>
  <si>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</si>
  <si>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</si>
  <si>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</si>
  <si>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</si>
  <si>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</si>
  <si>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</si>
  <si>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</si>
  <si>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</si>
  <si>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</si>
  <si>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</si>
  <si>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</si>
  <si>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</si>
  <si>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</si>
  <si>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</si>
  <si>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</si>
  <si>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</si>
  <si>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</si>
  <si>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</si>
  <si>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</si>
  <si>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</si>
  <si>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</si>
  <si>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</si>
  <si>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</si>
  <si>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</si>
  <si>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</si>
  <si>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</si>
  <si>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</si>
  <si>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</si>
  <si>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</si>
  <si>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</si>
  <si>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</si>
  <si>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</si>
  <si>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</si>
  <si>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</si>
  <si>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</si>
  <si>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</si>
  <si>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</si>
  <si>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</si>
  <si>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</si>
  <si>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</si>
  <si>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</si>
  <si>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</si>
  <si>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</si>
  <si>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</si>
  <si>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</si>
  <si>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</si>
  <si>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</si>
  <si>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</si>
  <si>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</si>
  <si>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</si>
  <si>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</si>
  <si>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</si>
  <si>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</si>
  <si>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</si>
  <si>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</si>
  <si>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</si>
  <si>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</si>
  <si>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</si>
  <si>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</si>
  <si>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</si>
  <si>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</si>
  <si>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</si>
  <si>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</si>
  <si>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</si>
  <si>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</si>
  <si>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</si>
  <si>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</si>
  <si>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</si>
  <si>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</si>
  <si>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</si>
  <si>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</si>
  <si>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</si>
  <si>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</si>
  <si>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</si>
  <si>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</si>
  <si>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</si>
  <si>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</si>
  <si>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</si>
  <si>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</si>
  <si>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</si>
  <si>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</si>
  <si>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</si>
  <si>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</si>
  <si>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</si>
  <si>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</si>
  <si>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</si>
  <si>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</si>
  <si>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</si>
  <si>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</si>
  <si>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</si>
  <si>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</si>
  <si>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</si>
  <si>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</si>
  <si>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</si>
  <si>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</si>
  <si>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</si>
  <si>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</si>
  <si>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</si>
  <si>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</si>
  <si>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</si>
  <si>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</si>
  <si>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</si>
  <si>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</si>
  <si>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</si>
  <si>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</si>
  <si>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</si>
  <si>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</si>
  <si>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</si>
  <si>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</si>
  <si>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</si>
  <si>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</si>
  <si>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</si>
  <si>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</si>
  <si>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</si>
  <si>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</si>
  <si>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</si>
  <si>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</si>
  <si>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</si>
  <si>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</si>
  <si>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</si>
  <si>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</si>
  <si>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</si>
  <si>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</si>
  <si>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</si>
  <si>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</si>
  <si>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</si>
  <si>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</si>
  <si>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</si>
  <si>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</si>
  <si>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</si>
  <si>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</si>
  <si>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</si>
  <si>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</si>
  <si>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</si>
  <si>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</si>
  <si>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</si>
  <si>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</si>
  <si>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</si>
  <si>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</si>
  <si>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</si>
  <si>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</si>
  <si>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</si>
  <si>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</si>
  <si>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</si>
  <si>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</si>
  <si>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</si>
  <si>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</si>
  <si>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</si>
  <si>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</si>
  <si>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</si>
  <si>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</si>
  <si>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</si>
  <si>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</si>
  <si>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</si>
  <si>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</si>
  <si>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</si>
  <si>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</si>
  <si>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</si>
  <si>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</si>
  <si>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</si>
  <si>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</si>
  <si>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</si>
  <si>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</si>
  <si>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</si>
  <si>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</si>
  <si>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</si>
  <si>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</si>
  <si>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</si>
  <si>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</si>
  <si>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</si>
  <si>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</si>
  <si>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</si>
  <si>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</si>
  <si>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</si>
  <si>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</si>
  <si>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</si>
  <si>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</si>
  <si>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</si>
  <si>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</si>
  <si>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</si>
  <si>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</si>
  <si>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</si>
  <si>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</si>
  <si>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</si>
  <si>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</si>
  <si>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</si>
  <si>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</si>
  <si>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</si>
  <si>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</si>
  <si>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</si>
  <si>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</si>
  <si>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</si>
  <si>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</si>
  <si>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</si>
  <si>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</si>
  <si>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</si>
  <si>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</si>
  <si>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</si>
  <si>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</si>
  <si>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</si>
  <si>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</si>
  <si>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</si>
  <si>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</si>
  <si>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</si>
  <si>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</si>
  <si>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</si>
  <si>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</si>
  <si>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</si>
  <si>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</si>
  <si>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</si>
  <si>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</si>
  <si>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</si>
  <si>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</si>
  <si>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</si>
  <si>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</si>
  <si>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</si>
  <si>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</si>
  <si>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</si>
  <si>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</si>
  <si>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</si>
  <si>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</si>
  <si>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</si>
  <si>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</si>
  <si>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</si>
  <si>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</si>
  <si>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</si>
  <si>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</si>
  <si>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</si>
  <si>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</si>
  <si>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</si>
  <si>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</si>
  <si>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</si>
  <si>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</si>
  <si>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</si>
  <si>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</si>
  <si>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</si>
  <si>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</si>
  <si>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</si>
  <si>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</si>
  <si>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</si>
  <si>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</si>
  <si>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</si>
  <si>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</si>
  <si>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</si>
  <si>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</si>
  <si>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</si>
  <si>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</si>
  <si>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</si>
  <si>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</si>
  <si>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</si>
  <si>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</si>
  <si>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</si>
  <si>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</si>
  <si>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</si>
  <si>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</si>
  <si>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</si>
  <si>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</si>
  <si>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</si>
  <si>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</si>
  <si>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</si>
  <si>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</si>
  <si>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</si>
  <si>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</si>
  <si>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</si>
  <si>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</si>
  <si>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</si>
  <si>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</si>
  <si>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</si>
  <si>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</si>
  <si>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</si>
  <si>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</si>
  <si>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</si>
  <si>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</si>
  <si>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</si>
  <si>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</si>
  <si>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</si>
  <si>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</si>
  <si>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</si>
  <si>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</si>
  <si>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</si>
  <si>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</si>
  <si>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</si>
  <si>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</si>
  <si>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</si>
  <si>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</si>
  <si>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</si>
  <si>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</si>
  <si>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</si>
  <si>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</si>
  <si>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</si>
  <si>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</si>
  <si>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</si>
  <si>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</si>
  <si>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</si>
  <si>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</si>
  <si>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</si>
  <si>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</si>
  <si>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</si>
  <si>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</si>
  <si>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</si>
  <si>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</si>
  <si>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</si>
  <si>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</si>
  <si>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</si>
  <si>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</si>
  <si>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</si>
  <si>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</si>
  <si>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</si>
  <si>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</si>
  <si>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</si>
  <si>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</si>
  <si>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</si>
  <si>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</si>
  <si>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</si>
  <si>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</si>
  <si>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</si>
  <si>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</si>
  <si>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</si>
  <si>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</si>
  <si>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</si>
  <si>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</si>
  <si>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</si>
  <si>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</si>
  <si>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</si>
  <si>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</si>
  <si>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</si>
  <si>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</si>
  <si>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</si>
  <si>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</si>
  <si>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</si>
  <si>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</si>
  <si>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</si>
  <si>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</si>
  <si>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</si>
  <si>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</si>
  <si>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</si>
  <si>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</si>
  <si>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</si>
  <si>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</si>
  <si>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</si>
  <si>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</si>
  <si>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</si>
  <si>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</si>
  <si>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</si>
  <si>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</si>
  <si>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</si>
  <si>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</si>
  <si>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</si>
  <si>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</si>
  <si>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</si>
  <si>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</si>
  <si>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</si>
  <si>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</si>
  <si>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</si>
  <si>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</si>
  <si>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</si>
  <si>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</si>
  <si>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</si>
  <si>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</si>
  <si>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</si>
  <si>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</si>
  <si>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</si>
  <si>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</si>
  <si>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</si>
  <si>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</si>
  <si>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</si>
  <si>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</si>
  <si>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</si>
  <si>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</si>
  <si>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</si>
  <si>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</si>
  <si>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</si>
  <si>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</si>
  <si>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</si>
  <si>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</si>
  <si>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</si>
  <si>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</si>
  <si>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</si>
  <si>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</si>
  <si>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</si>
  <si>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</si>
  <si>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</si>
  <si>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</si>
  <si>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</si>
  <si>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</si>
  <si>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</si>
  <si>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</si>
  <si>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</si>
  <si>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</si>
  <si>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</si>
  <si>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</si>
  <si>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</si>
  <si>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</si>
  <si>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</si>
  <si>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</si>
  <si>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</si>
  <si>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</si>
  <si>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</si>
  <si>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</si>
  <si>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</si>
  <si>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</si>
  <si>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</si>
  <si>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</si>
  <si>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</si>
  <si>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</si>
  <si>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</si>
  <si>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</si>
  <si>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</si>
  <si>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</si>
  <si>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</si>
  <si>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</si>
  <si>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</si>
  <si>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</si>
  <si>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</si>
  <si>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</si>
  <si>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</si>
  <si>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</si>
  <si>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</si>
  <si>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</si>
  <si>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</si>
  <si>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</si>
  <si>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</si>
  <si>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</si>
  <si>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</si>
  <si>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</si>
  <si>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</si>
  <si>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</si>
  <si>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</si>
  <si>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</si>
  <si>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</si>
  <si>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</si>
  <si>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</si>
  <si>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</si>
  <si>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</si>
  <si>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</si>
  <si>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</si>
  <si>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</si>
  <si>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</si>
  <si>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</si>
  <si>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</si>
  <si>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</si>
  <si>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</si>
  <si>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</si>
  <si>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</si>
  <si>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</si>
  <si>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</si>
  <si>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</si>
  <si>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</si>
  <si>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</si>
  <si>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</si>
  <si>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</si>
  <si>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</si>
  <si>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</si>
  <si>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</si>
  <si>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</si>
  <si>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</si>
  <si>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</si>
  <si>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</si>
  <si>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</si>
  <si>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</si>
  <si>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</si>
  <si>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</si>
  <si>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</si>
  <si>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</si>
  <si>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</si>
  <si>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</si>
  <si>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</si>
  <si>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</si>
  <si>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</si>
  <si>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</si>
  <si>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</si>
  <si>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</si>
  <si>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</si>
  <si>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</si>
  <si>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</si>
  <si>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</si>
  <si>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</si>
  <si>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</si>
  <si>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</si>
  <si>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</si>
  <si>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</si>
  <si>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</si>
  <si>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</si>
  <si>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</si>
  <si>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</si>
  <si>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</si>
  <si>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</si>
  <si>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</si>
  <si>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</si>
  <si>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</si>
  <si>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</si>
  <si>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</si>
  <si>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</si>
  <si>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</si>
  <si>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</si>
  <si>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</si>
  <si>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</si>
  <si>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</si>
  <si>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</si>
  <si>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</si>
  <si>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</si>
  <si>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</si>
  <si>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</si>
  <si>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</si>
  <si>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</si>
  <si>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</si>
  <si>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</si>
  <si>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</si>
  <si>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</si>
  <si>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</si>
  <si>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</si>
  <si>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</si>
  <si>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</si>
  <si>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</si>
  <si>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</si>
  <si>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</si>
  <si>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</si>
  <si>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</si>
  <si>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</si>
  <si>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</si>
  <si>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</si>
  <si>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</si>
  <si>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</si>
  <si>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</si>
  <si>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</si>
  <si>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</si>
  <si>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</si>
  <si>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</si>
  <si>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</si>
  <si>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</si>
  <si>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</si>
  <si>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</si>
  <si>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</si>
  <si>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</si>
  <si>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</si>
  <si>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</si>
  <si>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</si>
  <si>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</si>
  <si>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</si>
  <si>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</si>
  <si>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</si>
  <si>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</si>
  <si>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</si>
  <si>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</si>
  <si>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</si>
  <si>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</si>
  <si>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</si>
  <si>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</si>
  <si>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</si>
  <si>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</si>
  <si>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</si>
  <si>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</si>
  <si>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</si>
  <si>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</si>
  <si>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</si>
  <si>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</si>
  <si>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</si>
  <si>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</si>
  <si>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</si>
  <si>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</si>
  <si>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</si>
  <si>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</si>
  <si>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</si>
  <si>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</si>
  <si>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</si>
  <si>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</si>
  <si>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</si>
  <si>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</si>
  <si>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</si>
  <si>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</si>
  <si>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</si>
  <si>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</si>
  <si>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</si>
  <si>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</si>
  <si>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</si>
  <si>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</si>
  <si>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</si>
  <si>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</si>
  <si>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</si>
  <si>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</si>
  <si>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</si>
  <si>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</si>
  <si>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</si>
  <si>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</si>
  <si>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</si>
  <si>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</si>
  <si>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</si>
  <si>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</si>
  <si>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</si>
  <si>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</si>
  <si>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</si>
  <si>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</si>
  <si>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</si>
  <si>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</si>
  <si>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</si>
  <si>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</si>
  <si>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</si>
  <si>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</si>
  <si>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</si>
  <si>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</si>
  <si>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</si>
  <si>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</si>
  <si>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</si>
  <si>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</si>
  <si>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</si>
  <si>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</si>
  <si>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</si>
  <si>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</si>
  <si>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</si>
  <si>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</si>
  <si>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</si>
  <si>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</si>
  <si>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</si>
  <si>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</si>
  <si>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</si>
  <si>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</si>
  <si>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</si>
  <si>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</si>
  <si>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</si>
  <si>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</si>
  <si>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</si>
  <si>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</si>
  <si>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</si>
  <si>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</si>
  <si>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</si>
  <si>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</si>
  <si>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</si>
  <si>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</si>
  <si>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</si>
  <si>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</si>
  <si>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</si>
  <si>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</si>
  <si>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</si>
  <si>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</si>
  <si>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</si>
  <si>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</si>
  <si>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</si>
  <si>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</si>
  <si>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</si>
  <si>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</si>
  <si>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</si>
  <si>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</si>
  <si>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</si>
  <si>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</si>
  <si>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</si>
  <si>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</si>
  <si>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</si>
  <si>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</si>
  <si>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</si>
  <si>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</si>
  <si>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</si>
  <si>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</si>
  <si>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</si>
  <si>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</si>
  <si>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</si>
  <si>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</si>
  <si>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</si>
  <si>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</si>
  <si>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</si>
  <si>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</si>
  <si>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</si>
  <si>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</si>
  <si>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</si>
  <si>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</si>
  <si>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</si>
  <si>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</si>
  <si>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</si>
  <si>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</si>
  <si>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</si>
  <si>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</si>
  <si>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</si>
  <si>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</si>
  <si>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</si>
  <si>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</si>
  <si>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</si>
  <si>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</si>
  <si>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</si>
  <si>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</si>
  <si>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</si>
  <si>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</si>
  <si>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</si>
  <si>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</si>
  <si>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</si>
  <si>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</si>
  <si>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</si>
  <si>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</si>
  <si>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</si>
  <si>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</si>
  <si>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</si>
  <si>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</si>
  <si>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</si>
  <si>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</si>
  <si>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</si>
  <si>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</si>
  <si>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</si>
  <si>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</si>
  <si>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</si>
  <si>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</si>
  <si>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</si>
  <si>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</si>
  <si>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</si>
  <si>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</si>
  <si>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</si>
  <si>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</si>
  <si>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</si>
  <si>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</si>
  <si>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</si>
  <si>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</si>
  <si>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</si>
  <si>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</si>
  <si>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</si>
  <si>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</si>
  <si>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</si>
  <si>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</si>
  <si>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</si>
  <si>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</si>
  <si>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</si>
  <si>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</si>
  <si>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</si>
  <si>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</si>
  <si>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</si>
  <si>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</si>
  <si>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</si>
  <si>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</si>
  <si>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</si>
  <si>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</si>
  <si>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</si>
  <si>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</si>
  <si>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</si>
  <si>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</si>
  <si>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</si>
  <si>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</si>
  <si>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</si>
  <si>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</si>
  <si>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</si>
  <si>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</si>
  <si>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</si>
  <si>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</si>
  <si>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</si>
  <si>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</si>
  <si>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</si>
  <si>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</si>
  <si>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</si>
  <si>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</si>
  <si>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</si>
  <si>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</si>
  <si>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</si>
  <si>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</si>
  <si>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</si>
  <si>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</si>
  <si>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</si>
  <si>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</si>
  <si>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</si>
  <si>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</si>
  <si>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</si>
  <si>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</si>
  <si>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</si>
  <si>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</si>
  <si>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</si>
  <si>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</si>
  <si>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</si>
  <si>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</si>
  <si>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</si>
  <si>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</si>
  <si>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</si>
  <si>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</si>
  <si>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</si>
  <si>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</si>
  <si>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</si>
  <si>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</si>
  <si>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</si>
  <si>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</si>
  <si>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</si>
  <si>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</si>
  <si>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</si>
  <si>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</si>
  <si>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</si>
  <si>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</si>
  <si>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</si>
  <si>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</si>
  <si>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</si>
  <si>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</si>
  <si>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</si>
  <si>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</si>
  <si>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</si>
  <si>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</si>
  <si>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</si>
  <si>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</si>
  <si>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</si>
  <si>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</si>
  <si>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</si>
  <si>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</si>
  <si>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</si>
  <si>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</si>
  <si>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</si>
  <si>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</si>
  <si>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</si>
  <si>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</si>
  <si>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</si>
  <si>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</si>
  <si>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</si>
  <si>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</si>
  <si>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</si>
  <si>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</si>
  <si>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</si>
  <si>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</si>
  <si>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</si>
  <si>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</si>
  <si>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</si>
  <si>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</si>
  <si>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</si>
  <si>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</si>
  <si>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</si>
  <si>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</si>
  <si>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</si>
  <si>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</si>
  <si>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</si>
  <si>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</si>
  <si>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</si>
  <si>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</si>
  <si>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</si>
  <si>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</si>
  <si>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</si>
  <si>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</si>
  <si>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</si>
  <si>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</si>
  <si>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</si>
  <si>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</si>
  <si>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</si>
  <si>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</si>
  <si>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</si>
  <si>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</si>
  <si>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</si>
  <si>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</si>
  <si>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</si>
  <si>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</si>
  <si>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</si>
  <si>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</si>
  <si>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</si>
  <si>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</si>
  <si>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</si>
  <si>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</si>
  <si>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</si>
  <si>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</si>
  <si>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</si>
  <si>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</si>
  <si>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</si>
  <si>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</si>
  <si>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</si>
  <si>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</si>
  <si>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</si>
  <si>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</si>
  <si>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</si>
  <si>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</si>
  <si>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</si>
  <si>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</si>
  <si>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</si>
  <si>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</si>
  <si>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</si>
  <si>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</si>
  <si>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</si>
  <si>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</si>
  <si>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</si>
  <si>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</si>
  <si>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</si>
  <si>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</si>
  <si>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</si>
  <si>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</si>
  <si>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</si>
  <si>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</si>
  <si>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</si>
  <si>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</si>
  <si>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</si>
  <si>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</si>
  <si>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</si>
  <si>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</si>
  <si>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</si>
  <si>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</si>
  <si>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</si>
  <si>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</si>
  <si>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</si>
  <si>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</si>
  <si>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</si>
  <si>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</si>
  <si>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</si>
  <si>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</si>
  <si>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</si>
  <si>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</si>
  <si>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</si>
  <si>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</si>
  <si>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</si>
  <si>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</si>
  <si>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</si>
  <si>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</si>
  <si>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</si>
  <si>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</si>
  <si>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</si>
  <si>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</si>
  <si>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</si>
  <si>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</si>
  <si>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</si>
  <si>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</si>
  <si>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</si>
  <si>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</si>
  <si>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</si>
  <si>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</si>
  <si>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</si>
  <si>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</si>
  <si>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</si>
  <si>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</si>
  <si>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</si>
  <si>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</si>
  <si>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</si>
  <si>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</si>
  <si>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</si>
  <si>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</si>
  <si>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</si>
  <si>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</si>
  <si>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</si>
  <si>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</si>
  <si>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</si>
  <si>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</si>
  <si>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</si>
  <si>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</si>
  <si>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</si>
  <si>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</si>
  <si>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</si>
  <si>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</si>
  <si>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</si>
  <si>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</si>
  <si>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</si>
  <si>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</si>
  <si>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</si>
  <si>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</si>
  <si>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</si>
  <si>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</si>
  <si>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</si>
  <si>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</si>
  <si>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</si>
  <si>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</si>
  <si>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</si>
  <si>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</si>
  <si>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</si>
  <si>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</si>
  <si>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</si>
  <si>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</si>
  <si>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</si>
  <si>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</si>
  <si>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</si>
  <si>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</si>
  <si>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</si>
  <si>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</si>
  <si>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</si>
  <si>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</si>
  <si>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</si>
  <si>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</si>
  <si>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</si>
  <si>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</si>
  <si>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</si>
  <si>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</si>
  <si>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</si>
  <si>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</si>
  <si>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</si>
  <si>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</si>
  <si>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</si>
  <si>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</si>
  <si>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</si>
  <si>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</si>
  <si>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</si>
  <si>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</si>
  <si>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</si>
  <si>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</si>
  <si>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</si>
  <si>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</si>
  <si>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</si>
  <si>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</si>
  <si>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</si>
  <si>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</si>
  <si>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</si>
  <si>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</si>
  <si>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</si>
  <si>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</si>
  <si>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</si>
  <si>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</si>
  <si>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</si>
  <si>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</si>
  <si>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</si>
  <si>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</si>
  <si>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</si>
  <si>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</si>
  <si>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</si>
  <si>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</si>
  <si>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</si>
  <si>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</si>
  <si>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</si>
  <si>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</si>
  <si>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</si>
  <si>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</si>
  <si>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</si>
  <si>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</si>
  <si>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</si>
  <si>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</si>
  <si>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</si>
  <si>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</si>
  <si>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</si>
  <si>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</si>
  <si>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</si>
  <si>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</si>
  <si>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</si>
  <si>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</si>
  <si>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</si>
  <si>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</si>
  <si>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</si>
  <si>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</si>
  <si>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</si>
  <si>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</si>
  <si>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</si>
  <si>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</si>
  <si>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</si>
  <si>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</si>
  <si>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</si>
  <si>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</si>
  <si>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</si>
  <si>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</si>
  <si>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</si>
  <si>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</si>
  <si>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</si>
  <si>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</si>
  <si>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</si>
  <si>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</si>
  <si>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</si>
  <si>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</si>
  <si>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</si>
  <si>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</si>
  <si>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</si>
  <si>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</si>
  <si>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</si>
  <si>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</si>
  <si>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</si>
  <si>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</si>
  <si>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</si>
  <si>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</si>
  <si>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</si>
  <si>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</si>
  <si>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</si>
  <si>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</si>
  <si>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</si>
  <si>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</si>
  <si>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</si>
  <si>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</si>
  <si>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</si>
  <si>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</si>
  <si>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</si>
  <si>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</si>
  <si>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</si>
  <si>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</si>
  <si>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</si>
  <si>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</si>
  <si>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</si>
  <si>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</si>
  <si>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</si>
  <si>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</si>
  <si>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</si>
  <si>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</si>
  <si>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</si>
  <si>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</si>
  <si>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</si>
  <si>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</si>
  <si>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</si>
  <si>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</si>
  <si>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</si>
  <si>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</si>
  <si>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</si>
  <si>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</si>
  <si>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</si>
  <si>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</si>
  <si>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</si>
  <si>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</si>
  <si>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</si>
  <si>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</si>
  <si>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</si>
  <si>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</si>
  <si>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</si>
  <si>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</si>
  <si>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</si>
  <si>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</si>
  <si>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</si>
  <si>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</si>
  <si>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</si>
  <si>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</si>
  <si>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</si>
  <si>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</si>
  <si>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</si>
  <si>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</si>
  <si>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</si>
  <si>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</si>
  <si>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</si>
  <si>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</si>
  <si>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</si>
  <si>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</si>
  <si>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</si>
  <si>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</si>
  <si>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</si>
  <si>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</si>
  <si>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</si>
  <si>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</si>
  <si>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</si>
  <si>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</si>
  <si>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</si>
  <si>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</si>
  <si>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</si>
  <si>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</si>
  <si>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</si>
  <si>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</si>
  <si>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</si>
  <si>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</si>
  <si>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</si>
  <si>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</si>
  <si>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</si>
  <si>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</si>
  <si>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</si>
  <si>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</si>
  <si>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</si>
  <si>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</si>
  <si>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</si>
  <si>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</si>
  <si>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</si>
  <si>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</si>
  <si>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</si>
  <si>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</si>
  <si>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</si>
  <si>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</si>
  <si>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</si>
  <si>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</si>
  <si>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</si>
  <si>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</si>
  <si>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</si>
  <si>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</si>
  <si>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</si>
  <si>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</si>
  <si>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</si>
  <si>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</si>
  <si>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</si>
  <si>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</si>
  <si>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</si>
  <si>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</si>
  <si>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</si>
  <si>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</si>
  <si>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</si>
  <si>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</si>
  <si>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</si>
  <si>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</si>
  <si>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</si>
  <si>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</si>
  <si>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</si>
  <si>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</si>
  <si>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</si>
  <si>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</si>
  <si>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</si>
  <si>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</si>
  <si>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</si>
  <si>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</si>
  <si>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</si>
  <si>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</si>
  <si>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</si>
  <si>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</si>
  <si>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</si>
  <si>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</si>
  <si>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</si>
  <si>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</si>
  <si>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</si>
  <si>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</si>
  <si>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</si>
  <si>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</si>
  <si>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</si>
  <si>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</si>
  <si>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</si>
  <si>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</si>
  <si>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</si>
  <si>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</si>
  <si>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</si>
  <si>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</si>
  <si>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</si>
  <si>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</si>
  <si>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</si>
  <si>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</si>
  <si>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</si>
  <si>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</si>
  <si>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</si>
  <si>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</si>
  <si>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</si>
  <si>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</si>
  <si>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</si>
  <si>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</si>
  <si>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</si>
  <si>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</si>
  <si>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</si>
  <si>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</si>
  <si>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</si>
  <si>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</si>
  <si>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</si>
  <si>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</si>
  <si>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</si>
  <si>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</si>
  <si>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</si>
  <si>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</si>
  <si>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</si>
  <si>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</si>
  <si>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</si>
  <si>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</si>
  <si>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</si>
  <si>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</si>
  <si>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</si>
  <si>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</si>
  <si>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</si>
  <si>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</si>
  <si>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</si>
  <si>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</si>
  <si>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</si>
  <si>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</si>
  <si>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</si>
  <si>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</si>
  <si>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</si>
  <si>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</si>
  <si>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</si>
  <si>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</si>
  <si>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</si>
  <si>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</si>
  <si>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</si>
  <si>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</si>
  <si>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</si>
  <si>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</si>
  <si>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</si>
  <si>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</si>
  <si>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</si>
  <si>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</si>
  <si>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</si>
  <si>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</si>
  <si>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</si>
  <si>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</si>
  <si>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</si>
  <si>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</si>
  <si>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</si>
  <si>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</si>
  <si>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</si>
  <si>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</si>
  <si>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</si>
  <si>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</si>
  <si>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</si>
  <si>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</si>
  <si>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</si>
  <si>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</si>
  <si>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</si>
  <si>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</si>
  <si>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</si>
  <si>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</si>
  <si>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</si>
  <si>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</si>
  <si>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</si>
  <si>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</si>
  <si>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</si>
  <si>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</si>
  <si>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</si>
  <si>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</si>
  <si>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</si>
  <si>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</si>
  <si>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</si>
  <si>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</si>
  <si>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</si>
  <si>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</si>
  <si>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</si>
  <si>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</si>
  <si>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</si>
  <si>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</si>
  <si>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</si>
  <si>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</si>
  <si>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</si>
  <si>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</si>
  <si>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</si>
  <si>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</si>
  <si>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</si>
  <si>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</si>
  <si>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</si>
  <si>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</si>
  <si>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</si>
  <si>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</si>
  <si>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</si>
  <si>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</si>
  <si>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</si>
  <si>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</si>
  <si>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</si>
  <si>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</si>
  <si>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</si>
  <si>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</si>
  <si>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</si>
  <si>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</si>
  <si>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</si>
  <si>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</si>
  <si>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</si>
  <si>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</si>
  <si>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</si>
  <si>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</si>
  <si>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</si>
  <si>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</si>
  <si>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</si>
  <si>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</si>
  <si>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</si>
  <si>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</si>
  <si>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</si>
  <si>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</si>
  <si>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</si>
  <si>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</si>
  <si>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</si>
  <si>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</si>
  <si>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</si>
  <si>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</si>
  <si>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</si>
  <si>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</si>
  <si>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</si>
  <si>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</si>
  <si>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</si>
  <si>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</si>
  <si>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</si>
  <si>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</si>
  <si>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</si>
  <si>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</si>
  <si>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</si>
  <si>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</si>
  <si>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</si>
  <si>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</si>
  <si>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</si>
  <si>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</si>
  <si>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</si>
  <si>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</si>
  <si>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</si>
  <si>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</si>
  <si>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</si>
  <si>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</si>
  <si>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</si>
  <si>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</si>
  <si>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</si>
  <si>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</si>
  <si>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</si>
  <si>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</si>
  <si>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</si>
  <si>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</si>
  <si>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</si>
  <si>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</si>
  <si>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</si>
  <si>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</si>
  <si>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</si>
  <si>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</si>
  <si>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</si>
  <si>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</si>
  <si>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</si>
  <si>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</si>
  <si>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</si>
  <si>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</si>
  <si>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</si>
  <si>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</si>
  <si>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</si>
  <si>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</si>
  <si>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</si>
  <si>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</si>
  <si>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</si>
  <si>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</si>
  <si>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</si>
  <si>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</si>
  <si>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</si>
  <si>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</si>
  <si>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</si>
  <si>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</si>
  <si>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</si>
  <si>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</si>
  <si>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</si>
  <si>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</si>
  <si>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</si>
  <si>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</si>
  <si>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</si>
  <si>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</si>
  <si>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</si>
  <si>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</si>
  <si>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</si>
  <si>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</si>
  <si>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</si>
  <si>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</si>
  <si>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</si>
  <si>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</si>
  <si>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</si>
  <si>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</si>
  <si>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</si>
  <si>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</si>
  <si>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</si>
  <si>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</si>
  <si>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</si>
  <si>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</si>
  <si>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</si>
  <si>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</si>
  <si>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</si>
  <si>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</si>
  <si>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</si>
  <si>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</si>
  <si>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</si>
  <si>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</si>
  <si>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</si>
  <si>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</si>
  <si>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</si>
  <si>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</si>
  <si>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</si>
  <si>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</si>
  <si>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</si>
  <si>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</si>
  <si>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</si>
  <si>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</si>
  <si>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</si>
  <si>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</si>
  <si>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</si>
  <si>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</si>
  <si>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</si>
  <si>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</si>
  <si>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</si>
  <si>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</si>
  <si>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</si>
  <si>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</si>
  <si>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</si>
  <si>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</si>
  <si>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</si>
  <si>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</si>
  <si>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</si>
  <si>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</si>
  <si>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</si>
  <si>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</si>
  <si>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</si>
  <si>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</si>
  <si>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</si>
  <si>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</si>
  <si>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</si>
  <si>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</si>
  <si>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</si>
  <si>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</si>
  <si>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</si>
  <si>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</si>
  <si>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</si>
  <si>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</si>
  <si>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</si>
  <si>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</si>
  <si>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</si>
  <si>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</si>
  <si>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</si>
  <si>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</si>
  <si>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</si>
  <si>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</si>
  <si>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</si>
  <si>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</si>
  <si>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</si>
  <si>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</si>
  <si>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</si>
  <si>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</si>
  <si>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</si>
  <si>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</si>
  <si>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</si>
  <si>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</si>
  <si>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</si>
  <si>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</si>
  <si>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</si>
  <si>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</si>
  <si>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</si>
  <si>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</si>
  <si>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</si>
  <si>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</si>
  <si>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</si>
  <si>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</si>
  <si>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</si>
  <si>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</si>
  <si>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</si>
  <si>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</si>
  <si>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</si>
  <si>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</si>
  <si>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</si>
  <si>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</si>
  <si>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</si>
  <si>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</si>
  <si>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</si>
  <si>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</si>
  <si>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</si>
  <si>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</si>
  <si>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</si>
  <si>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</si>
  <si>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</si>
  <si>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</si>
  <si>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</si>
  <si>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</si>
  <si>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</si>
  <si>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</si>
  <si>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</si>
  <si>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</si>
  <si>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</si>
  <si>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</si>
  <si>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</si>
  <si>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</si>
  <si>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</si>
  <si>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</si>
  <si>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</si>
  <si>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</si>
  <si>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</si>
  <si>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</si>
  <si>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</si>
  <si>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</si>
  <si>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</si>
  <si>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</si>
  <si>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</si>
  <si>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</si>
  <si>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</si>
  <si>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</si>
  <si>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</si>
  <si>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</si>
  <si>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</si>
  <si>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</si>
  <si>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</si>
  <si>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</si>
  <si>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</si>
  <si>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</si>
  <si>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</si>
  <si>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</si>
  <si>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</si>
  <si>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</si>
  <si>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</si>
  <si>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</si>
  <si>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</si>
  <si>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</si>
  <si>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</si>
  <si>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</si>
  <si>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</si>
  <si>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</si>
  <si>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</si>
  <si>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</si>
  <si>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</si>
  <si>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</si>
  <si>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</si>
  <si>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</si>
  <si>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</si>
  <si>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</si>
  <si>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</si>
  <si>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</si>
  <si>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</si>
  <si>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</si>
  <si>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</si>
  <si>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</si>
  <si>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</si>
  <si>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</si>
  <si>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</si>
  <si>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</si>
  <si>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</si>
  <si>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</si>
  <si>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</si>
  <si>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</si>
  <si>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</si>
  <si>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</si>
  <si>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</si>
  <si>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</si>
  <si>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</si>
  <si>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</si>
  <si>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</si>
  <si>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</si>
  <si>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</si>
  <si>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</si>
  <si>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</si>
  <si>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</si>
  <si>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</si>
  <si>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</si>
  <si>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</si>
  <si>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</si>
  <si>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</si>
  <si>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</si>
  <si>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</si>
  <si>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</si>
  <si>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</si>
  <si>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</si>
  <si>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</si>
  <si>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</si>
  <si>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</si>
  <si>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</si>
  <si>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</si>
  <si>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</si>
  <si>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</si>
  <si>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</si>
  <si>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</si>
  <si>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</si>
  <si>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</si>
  <si>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</si>
  <si>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</si>
  <si>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</si>
  <si>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</si>
  <si>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</si>
  <si>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</si>
  <si>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</si>
  <si>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</si>
  <si>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</si>
  <si>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</si>
  <si>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</si>
  <si>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</si>
  <si>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</si>
  <si>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</si>
  <si>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</si>
  <si>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</si>
  <si>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</si>
  <si>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</si>
  <si>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</si>
  <si>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</si>
  <si>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</si>
  <si>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</si>
  <si>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</si>
  <si>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</si>
  <si>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</si>
  <si>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</si>
  <si>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</si>
  <si>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</si>
  <si>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</si>
  <si>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</si>
  <si>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</si>
  <si>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</si>
  <si>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</si>
  <si>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</si>
  <si>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</si>
  <si>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</si>
  <si>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</si>
  <si>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</si>
  <si>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</si>
  <si>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</si>
  <si>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</si>
  <si>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</si>
  <si>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</si>
  <si>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</si>
  <si>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</si>
  <si>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</si>
  <si>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</si>
  <si>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</si>
  <si>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</si>
  <si>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</si>
  <si>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</si>
  <si>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</si>
  <si>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</si>
  <si>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</si>
  <si>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</si>
  <si>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</si>
  <si>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</si>
  <si>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</si>
  <si>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</si>
  <si>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</si>
  <si>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</si>
  <si>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</si>
  <si>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</si>
  <si>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</si>
  <si>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</si>
  <si>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</si>
  <si>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</si>
  <si>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</si>
  <si>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</si>
  <si>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</si>
  <si>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</si>
  <si>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</si>
  <si>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</si>
  <si>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</si>
  <si>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</si>
  <si>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</si>
  <si>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</si>
  <si>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</si>
  <si>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</si>
  <si>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</si>
  <si>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</si>
  <si>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</si>
  <si>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</si>
  <si>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</si>
  <si>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</si>
  <si>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</si>
  <si>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</si>
  <si>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</si>
  <si>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</si>
  <si>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</si>
  <si>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</si>
  <si>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</si>
  <si>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</si>
  <si>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</si>
  <si>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</si>
  <si>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</si>
  <si>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</si>
  <si>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</si>
  <si>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</si>
  <si>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</si>
  <si>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</si>
  <si>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</si>
  <si>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</si>
  <si>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</si>
  <si>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</si>
  <si>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</si>
  <si>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</si>
  <si>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</si>
  <si>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</si>
  <si>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</si>
  <si>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</si>
  <si>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</si>
  <si>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</si>
  <si>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</si>
  <si>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</si>
  <si>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</si>
  <si>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</si>
  <si>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</si>
  <si>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</si>
  <si>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</si>
  <si>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</si>
  <si>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</si>
  <si>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</si>
  <si>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</si>
  <si>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</si>
  <si>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</si>
  <si>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</si>
  <si>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</si>
  <si>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</si>
  <si>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</si>
  <si>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</si>
  <si>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</si>
  <si>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</si>
  <si>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</si>
  <si>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</si>
  <si>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</si>
  <si>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</si>
  <si>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</si>
  <si>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</si>
  <si>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</si>
  <si>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</si>
  <si>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</si>
  <si>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</si>
  <si>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</si>
  <si>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</si>
  <si>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</si>
  <si>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</si>
  <si>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</si>
  <si>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</si>
  <si>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</si>
  <si>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</si>
  <si>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</si>
  <si>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</si>
  <si>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</si>
  <si>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</si>
  <si>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</si>
  <si>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</si>
  <si>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</si>
  <si>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</si>
  <si>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</si>
  <si>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</si>
  <si>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</si>
  <si>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</si>
  <si>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</si>
  <si>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</si>
  <si>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</si>
  <si>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</si>
  <si>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</si>
  <si>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</si>
  <si>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</si>
  <si>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</si>
  <si>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</si>
  <si>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</si>
  <si>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</si>
  <si>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</si>
  <si>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</si>
  <si>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</si>
  <si>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</si>
  <si>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</si>
  <si>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</si>
  <si>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</si>
  <si>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</si>
  <si>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</si>
  <si>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</si>
  <si>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</si>
  <si>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</si>
  <si>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</si>
  <si>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</si>
  <si>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</si>
  <si>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</si>
  <si>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</si>
  <si>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</si>
  <si>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</si>
  <si>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</si>
  <si>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</si>
  <si>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</si>
  <si>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</si>
  <si>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</si>
  <si>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</si>
  <si>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</si>
  <si>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</si>
  <si>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</si>
  <si>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</si>
  <si>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</si>
  <si>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</si>
  <si>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</si>
  <si>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</si>
  <si>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</si>
  <si>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</si>
  <si>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</si>
  <si>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</si>
  <si>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</si>
  <si>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</si>
  <si>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</si>
  <si>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</si>
  <si>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</si>
  <si>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</si>
  <si>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</si>
  <si>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</si>
  <si>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</si>
  <si>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</si>
  <si>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</si>
  <si>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</si>
  <si>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</si>
  <si>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</si>
  <si>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</si>
  <si>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</si>
  <si>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</si>
  <si>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</si>
  <si>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</si>
  <si>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</si>
  <si>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</si>
  <si>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</si>
  <si>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</si>
  <si>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</si>
  <si>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</si>
  <si>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</si>
  <si>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</si>
  <si>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</si>
  <si>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</si>
  <si>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</si>
  <si>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</si>
  <si>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</si>
  <si>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</si>
  <si>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</si>
  <si>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</si>
  <si>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</si>
  <si>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</si>
  <si>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</si>
  <si>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</si>
  <si>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</si>
  <si>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</si>
  <si>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</si>
  <si>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</si>
  <si>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</si>
  <si>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</si>
  <si>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</si>
  <si>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</si>
  <si>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</si>
  <si>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</si>
  <si>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</si>
  <si>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</si>
  <si>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</si>
  <si>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</si>
  <si>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</si>
  <si>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</si>
  <si>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</si>
  <si>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</si>
  <si>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</si>
  <si>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</si>
  <si>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</si>
  <si>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</si>
  <si>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</si>
  <si>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</si>
  <si>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</si>
  <si>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</si>
  <si>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</si>
  <si>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</si>
  <si>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</si>
  <si>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</si>
  <si>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</si>
  <si>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</si>
  <si>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</si>
  <si>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</si>
  <si>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</si>
  <si>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</si>
  <si>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</si>
  <si>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</si>
  <si>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</si>
  <si>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</si>
  <si>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</si>
  <si>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</si>
  <si>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</si>
  <si>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</si>
  <si>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</si>
  <si>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</si>
  <si>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</si>
  <si>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</si>
  <si>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</si>
  <si>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</si>
  <si>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</si>
  <si>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</si>
  <si>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</si>
  <si>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</si>
  <si>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</si>
  <si>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</si>
  <si>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</si>
  <si>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</si>
  <si>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</si>
  <si>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</si>
  <si>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</si>
  <si>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</si>
  <si>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</si>
  <si>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</si>
  <si>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</si>
  <si>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</si>
  <si>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</si>
  <si>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</si>
  <si>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</si>
  <si>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</si>
  <si>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</si>
  <si>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</si>
  <si>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</si>
  <si>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</si>
  <si>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</si>
  <si>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</si>
  <si>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</si>
  <si>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</si>
  <si>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</si>
  <si>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</si>
  <si>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</si>
  <si>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</si>
  <si>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</si>
  <si>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</si>
  <si>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</si>
  <si>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</si>
  <si>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</si>
  <si>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</si>
  <si>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</si>
  <si>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</si>
  <si>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</si>
  <si>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</si>
  <si>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</si>
  <si>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</si>
  <si>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</si>
  <si>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</si>
  <si>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</si>
  <si>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</si>
  <si>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</si>
  <si>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</si>
  <si>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</si>
  <si>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</si>
  <si>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</si>
  <si>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</si>
  <si>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</si>
  <si>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</si>
  <si>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</si>
  <si>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</si>
  <si>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</si>
  <si>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</si>
  <si>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</si>
  <si>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</si>
  <si>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</si>
  <si>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</si>
  <si>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</si>
  <si>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</si>
  <si>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</si>
  <si>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</si>
  <si>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</si>
  <si>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</si>
  <si>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</si>
  <si>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</si>
  <si>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</si>
  <si>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</si>
  <si>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</si>
  <si>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</si>
  <si>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</si>
  <si>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</si>
  <si>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</si>
  <si>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</si>
  <si>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</si>
  <si>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</si>
  <si>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</si>
  <si>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</si>
  <si>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</si>
  <si>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</si>
  <si>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</si>
  <si>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</si>
  <si>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</si>
  <si>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</si>
  <si>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</si>
  <si>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</si>
  <si>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</si>
  <si>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</si>
  <si>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</si>
  <si>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</si>
  <si>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</si>
  <si>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</si>
  <si>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</si>
  <si>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</si>
  <si>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</si>
  <si>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</si>
  <si>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</si>
  <si>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</si>
  <si>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</si>
  <si>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</si>
  <si>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</si>
  <si>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</si>
  <si>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</si>
  <si>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</si>
  <si>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</si>
  <si>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</si>
  <si>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</si>
  <si>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</si>
  <si>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</si>
  <si>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</si>
  <si>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</si>
  <si>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</si>
  <si>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</si>
  <si>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</si>
  <si>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</si>
  <si>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</si>
  <si>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</si>
  <si>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</si>
  <si>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</si>
  <si>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</si>
  <si>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</si>
  <si>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</si>
  <si>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</si>
  <si>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</si>
  <si>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</si>
  <si>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</si>
  <si>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</si>
  <si>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</si>
  <si>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</si>
  <si>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</si>
  <si>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</si>
  <si>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</si>
  <si>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</si>
  <si>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</si>
  <si>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</si>
  <si>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</si>
  <si>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</si>
  <si>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</si>
  <si>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</si>
  <si>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</si>
  <si>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</si>
  <si>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</si>
  <si>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</si>
  <si>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</si>
  <si>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</si>
  <si>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</si>
  <si>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</si>
  <si>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</si>
  <si>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</si>
  <si>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</si>
  <si>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</si>
  <si>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</si>
  <si>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</si>
  <si>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</si>
  <si>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</si>
  <si>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</si>
  <si>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</si>
  <si>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</si>
  <si>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</si>
  <si>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</si>
  <si>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</si>
  <si>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</si>
  <si>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</si>
  <si>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</si>
  <si>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</si>
  <si>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</si>
  <si>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</si>
  <si>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</si>
  <si>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</si>
  <si>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</si>
  <si>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</si>
  <si>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</si>
  <si>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</si>
  <si>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</si>
  <si>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</si>
  <si>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</si>
  <si>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</si>
  <si>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</si>
  <si>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</si>
  <si>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</si>
  <si>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</si>
  <si>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</si>
  <si>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</si>
  <si>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</si>
  <si>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</si>
  <si>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</si>
  <si>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</si>
  <si>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</si>
  <si>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</si>
  <si>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</si>
  <si>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</si>
  <si>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</si>
  <si>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</si>
  <si>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</si>
  <si>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</si>
  <si>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</si>
  <si>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</si>
  <si>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</si>
  <si>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</si>
  <si>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</si>
  <si>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</si>
  <si>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</si>
  <si>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</si>
  <si>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</si>
  <si>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</si>
  <si>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</si>
  <si>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</si>
  <si>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</si>
  <si>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</si>
  <si>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</si>
  <si>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</si>
  <si>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</si>
  <si>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</si>
  <si>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</si>
  <si>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</si>
  <si>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</si>
  <si>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</si>
  <si>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</si>
  <si>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</si>
  <si>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</si>
  <si>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</si>
  <si>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</si>
  <si>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</si>
  <si>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</si>
  <si>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</si>
  <si>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</si>
  <si>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</si>
  <si>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</si>
  <si>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</si>
  <si>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</si>
  <si>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</si>
  <si>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</si>
  <si>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</si>
  <si>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</si>
  <si>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</si>
  <si>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</si>
  <si>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</si>
  <si>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</si>
  <si>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</si>
  <si>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</si>
  <si>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</si>
  <si>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</si>
  <si>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</si>
  <si>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</si>
  <si>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</si>
  <si>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</si>
  <si>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</si>
  <si>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</si>
  <si>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</si>
  <si>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</si>
  <si>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</si>
  <si>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</si>
  <si>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</si>
  <si>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</si>
  <si>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</si>
  <si>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</si>
  <si>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</si>
  <si>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</si>
  <si>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</si>
  <si>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</si>
  <si>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</si>
  <si>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</si>
  <si>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</si>
  <si>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</si>
  <si>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</si>
  <si>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</si>
  <si>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</si>
  <si>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</si>
  <si>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</si>
  <si>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</si>
  <si>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</si>
  <si>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</si>
  <si>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</si>
  <si>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</si>
  <si>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</si>
  <si>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</si>
  <si>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</si>
  <si>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</si>
  <si>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</si>
  <si>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</si>
  <si>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</si>
  <si>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</si>
  <si>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</si>
  <si>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</si>
  <si>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</si>
  <si>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</si>
  <si>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</si>
  <si>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</si>
  <si>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</si>
  <si>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</si>
  <si>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</si>
  <si>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</si>
  <si>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</si>
  <si>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</si>
  <si>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</si>
  <si>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</si>
  <si>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</si>
  <si>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</si>
  <si>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</si>
  <si>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</si>
  <si>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</si>
  <si>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</si>
  <si>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</si>
  <si>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</si>
  <si>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</si>
  <si>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</si>
  <si>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</si>
  <si>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</si>
  <si>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</si>
  <si>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</si>
  <si>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</si>
  <si>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</si>
  <si>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</si>
  <si>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</si>
  <si>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</si>
  <si>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</si>
  <si>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</si>
  <si>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</si>
  <si>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</si>
  <si>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</si>
  <si>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</si>
  <si>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</si>
  <si>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</si>
  <si>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</si>
  <si>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</si>
  <si>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</si>
  <si>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</si>
  <si>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</si>
  <si>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</si>
  <si>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</si>
  <si>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</si>
  <si>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</si>
  <si>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</si>
  <si>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</si>
  <si>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</si>
  <si>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</si>
  <si>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</si>
  <si>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</si>
  <si>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</si>
  <si>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</si>
  <si>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</si>
  <si>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</si>
  <si>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</si>
  <si>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</si>
  <si>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</si>
  <si>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</si>
  <si>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</si>
  <si>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</si>
  <si>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</si>
  <si>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</si>
  <si>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</si>
  <si>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</si>
  <si>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</si>
  <si>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</si>
  <si>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</si>
  <si>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</si>
  <si>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</si>
  <si>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</si>
  <si>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</si>
  <si>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</si>
  <si>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</si>
  <si>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</si>
  <si>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</si>
  <si>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</si>
  <si>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</si>
  <si>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</si>
  <si>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</si>
  <si>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</si>
  <si>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</si>
  <si>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</si>
  <si>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</si>
  <si>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</si>
  <si>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</si>
  <si>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</si>
  <si>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</si>
  <si>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</si>
  <si>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</si>
  <si>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</si>
  <si>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</si>
  <si>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</si>
  <si>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</si>
  <si>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</si>
  <si>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</si>
  <si>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</si>
  <si>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</si>
  <si>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</si>
  <si>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</si>
  <si>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</si>
  <si>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</si>
  <si>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</si>
  <si>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</si>
  <si>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</si>
  <si>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</si>
  <si>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</si>
  <si>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</si>
  <si>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</si>
  <si>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</si>
  <si>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</si>
  <si>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</si>
  <si>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</si>
  <si>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</si>
  <si>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</si>
  <si>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</si>
  <si>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</si>
  <si>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</si>
  <si>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</si>
  <si>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</si>
  <si>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</si>
  <si>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</si>
  <si>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</si>
  <si>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</si>
  <si>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</si>
  <si>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</si>
  <si>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</si>
  <si>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</si>
  <si>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</si>
  <si>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</si>
  <si>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</si>
  <si>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</si>
  <si>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</si>
  <si>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</si>
  <si>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</si>
  <si>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</si>
  <si>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</si>
  <si>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</si>
  <si>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</si>
  <si>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</si>
  <si>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</si>
  <si>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</si>
  <si>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</si>
  <si>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</si>
  <si>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</si>
  <si>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</si>
  <si>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</si>
  <si>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</si>
  <si>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</si>
  <si>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</si>
  <si>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</si>
  <si>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</si>
  <si>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</si>
  <si>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</si>
  <si>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</si>
  <si>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</si>
  <si>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</si>
  <si>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</si>
  <si>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</si>
  <si>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</si>
  <si>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</si>
  <si>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</si>
  <si>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</si>
  <si>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</si>
  <si>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</si>
  <si>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</si>
  <si>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</si>
  <si>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</si>
  <si>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</si>
  <si>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</si>
  <si>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</si>
  <si>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</si>
  <si>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</si>
  <si>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</si>
  <si>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</si>
  <si>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</si>
  <si>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</si>
  <si>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</si>
  <si>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</si>
  <si>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</si>
  <si>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</si>
  <si>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</si>
  <si>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</si>
  <si>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</si>
  <si>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</si>
  <si>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</si>
  <si>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</si>
  <si>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</si>
  <si>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</si>
  <si>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</si>
  <si>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</si>
  <si>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</si>
  <si>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</si>
  <si>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</si>
  <si>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</si>
  <si>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</si>
  <si>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</si>
  <si>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</si>
  <si>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</si>
  <si>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</si>
  <si>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</si>
  <si>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</si>
  <si>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</si>
  <si>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</si>
  <si>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</si>
  <si>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</si>
  <si>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</si>
  <si>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</si>
  <si>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</si>
  <si>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</si>
  <si>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</si>
  <si>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</si>
  <si>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</si>
  <si>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</si>
  <si>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</si>
  <si>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</si>
  <si>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</si>
  <si>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</si>
  <si>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</si>
  <si>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</si>
  <si>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</si>
  <si>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</si>
  <si>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</si>
  <si>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</si>
  <si>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</si>
  <si>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</si>
  <si>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</si>
  <si>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</si>
  <si>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</si>
  <si>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</si>
  <si>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</si>
  <si>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</si>
  <si>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</si>
  <si>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</si>
  <si>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</si>
  <si>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</si>
  <si>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</si>
  <si>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</si>
  <si>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</si>
  <si>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</si>
  <si>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</si>
  <si>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</si>
  <si>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</si>
  <si>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</si>
  <si>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</si>
  <si>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</si>
  <si>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</si>
  <si>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</si>
  <si>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</si>
  <si>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</si>
  <si>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</si>
  <si>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</si>
  <si>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</si>
  <si>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</si>
  <si>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</si>
  <si>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</si>
  <si>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</si>
  <si>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</si>
  <si>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</si>
  <si>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</si>
  <si>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</si>
  <si>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</si>
  <si>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</si>
  <si>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</si>
  <si>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</si>
  <si>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</si>
  <si>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</si>
  <si>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</si>
  <si>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</si>
  <si>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</si>
  <si>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</si>
  <si>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</si>
  <si>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</si>
  <si>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</si>
  <si>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</si>
  <si>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</si>
  <si>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</si>
  <si>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</si>
  <si>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</si>
  <si>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</si>
  <si>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</si>
  <si>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</si>
  <si>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</si>
  <si>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</si>
  <si>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</si>
  <si>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</si>
  <si>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</si>
  <si>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</si>
  <si>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</si>
  <si>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</si>
  <si>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</si>
  <si>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</si>
  <si>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</si>
  <si>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</si>
  <si>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</si>
  <si>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</si>
  <si>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</si>
  <si>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</si>
  <si>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</si>
  <si>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</si>
  <si>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</si>
  <si>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</si>
  <si>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</si>
  <si>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</si>
  <si>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</si>
  <si>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</si>
  <si>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</si>
  <si>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</si>
  <si>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</si>
  <si>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</si>
  <si>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</si>
  <si>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</si>
  <si>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</si>
  <si>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</si>
  <si>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</si>
  <si>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</si>
  <si>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</si>
  <si>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</si>
  <si>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</si>
  <si>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</si>
  <si>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</si>
  <si>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</si>
  <si>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</si>
  <si>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</si>
  <si>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</si>
  <si>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</si>
  <si>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</si>
  <si>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</si>
  <si>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</si>
  <si>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</si>
  <si>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</si>
  <si>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</si>
  <si>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</si>
  <si>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</si>
  <si>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</si>
  <si>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</si>
  <si>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</si>
  <si>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</si>
  <si>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</si>
  <si>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</si>
  <si>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</si>
  <si>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</si>
  <si>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</si>
  <si>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</si>
  <si>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</si>
  <si>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</si>
  <si>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</si>
  <si>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</si>
  <si>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</si>
  <si>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</si>
  <si>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</si>
  <si>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</si>
  <si>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</si>
  <si>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</si>
  <si>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</si>
  <si>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</si>
  <si>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</si>
  <si>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</si>
  <si>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</si>
  <si>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</si>
  <si>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</si>
  <si>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</si>
  <si>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</si>
  <si>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</si>
  <si>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</si>
  <si>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</si>
  <si>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</si>
  <si>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</si>
  <si>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</si>
  <si>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</si>
  <si>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</si>
  <si>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</si>
  <si>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</si>
  <si>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</si>
  <si>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</si>
  <si>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</si>
  <si>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</si>
  <si>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</si>
  <si>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</si>
  <si>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</si>
  <si>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</si>
  <si>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</si>
  <si>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</si>
  <si>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</si>
  <si>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</si>
  <si>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</si>
  <si>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</si>
  <si>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</si>
  <si>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</si>
  <si>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</si>
  <si>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</si>
  <si>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</si>
  <si>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</si>
  <si>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</si>
  <si>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</si>
  <si>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</si>
  <si>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</si>
  <si>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</si>
  <si>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</si>
  <si>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</si>
  <si>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</si>
  <si>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</si>
  <si>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</si>
  <si>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</si>
  <si>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</si>
  <si>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</si>
  <si>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</si>
  <si>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</si>
  <si>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</si>
  <si>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</si>
  <si>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</si>
  <si>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</si>
  <si>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</si>
  <si>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</si>
  <si>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</si>
  <si>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</si>
  <si>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</si>
  <si>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</si>
  <si>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</si>
  <si>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</si>
  <si>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</si>
  <si>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</si>
  <si>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</si>
  <si>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</si>
  <si>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</si>
  <si>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</si>
  <si>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</si>
  <si>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</si>
  <si>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</si>
  <si>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</si>
  <si>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</si>
  <si>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</si>
  <si>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</si>
  <si>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</si>
  <si>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</si>
  <si>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</si>
  <si>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</si>
  <si>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</si>
  <si>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</si>
  <si>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</si>
  <si>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</si>
  <si>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</si>
  <si>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</si>
  <si>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</si>
  <si>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</si>
  <si>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</si>
  <si>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</si>
  <si>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</si>
  <si>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</si>
  <si>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</si>
  <si>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</si>
  <si>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</si>
  <si>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</si>
  <si>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</si>
  <si>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</si>
  <si>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</si>
  <si>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</si>
  <si>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</si>
  <si>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</si>
  <si>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</si>
  <si>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</si>
  <si>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</si>
  <si>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</si>
  <si>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</si>
  <si>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</si>
  <si>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</si>
  <si>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</si>
  <si>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</si>
  <si>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</si>
  <si>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</si>
  <si>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</si>
  <si>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</si>
  <si>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</si>
  <si>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</si>
  <si>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</si>
  <si>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</si>
  <si>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</si>
  <si>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</si>
  <si>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</si>
  <si>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</si>
  <si>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</si>
  <si>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</si>
  <si>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</si>
  <si>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</si>
  <si>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</si>
  <si>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</si>
  <si>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</si>
  <si>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</si>
  <si>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</si>
  <si>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</si>
  <si>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</si>
  <si>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</si>
  <si>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</si>
  <si>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</si>
  <si>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</si>
  <si>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</si>
  <si>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</si>
  <si>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</si>
  <si>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</si>
  <si>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</si>
  <si>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</si>
  <si>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</si>
  <si>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</si>
  <si>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</si>
  <si>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</si>
  <si>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</si>
  <si>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</si>
  <si>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</si>
  <si>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</si>
  <si>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</si>
  <si>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</si>
  <si>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</si>
  <si>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</si>
  <si>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</si>
  <si>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</si>
  <si>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</si>
  <si>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</si>
  <si>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</si>
  <si>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</si>
  <si>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</si>
  <si>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</si>
  <si>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</si>
  <si>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</si>
  <si>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</si>
  <si>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</si>
  <si>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</si>
  <si>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</si>
  <si>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</si>
  <si>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</si>
  <si>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</si>
  <si>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</si>
  <si>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</si>
  <si>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</si>
  <si>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</si>
  <si>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</si>
  <si>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</si>
  <si>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</si>
  <si>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</si>
  <si>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</si>
  <si>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</si>
  <si>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</si>
  <si>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</si>
  <si>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</si>
  <si>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</si>
  <si>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</si>
  <si>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</si>
  <si>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</si>
  <si>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</si>
  <si>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</si>
  <si>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</si>
  <si>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</si>
  <si>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</si>
  <si>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</si>
  <si>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</si>
  <si>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</si>
  <si>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</si>
  <si>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</si>
  <si>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</si>
  <si>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</si>
  <si>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</si>
  <si>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</si>
  <si>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</si>
  <si>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</si>
  <si>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</si>
  <si>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</si>
  <si>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</si>
  <si>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</si>
  <si>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</si>
  <si>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</si>
  <si>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</si>
  <si>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</si>
  <si>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</si>
  <si>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</si>
  <si>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</si>
  <si>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</si>
  <si>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</si>
  <si>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</si>
  <si>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</si>
  <si>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</si>
  <si>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</si>
  <si>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</si>
  <si>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</si>
  <si>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</si>
  <si>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</si>
  <si>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</si>
  <si>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</si>
  <si>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</si>
  <si>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</si>
  <si>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</si>
  <si>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</si>
  <si>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</si>
  <si>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</si>
  <si>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</si>
  <si>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</si>
  <si>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</si>
  <si>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</si>
  <si>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</si>
  <si>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</si>
  <si>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</si>
  <si>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</si>
  <si>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</si>
  <si>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</si>
  <si>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</si>
  <si>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</si>
  <si>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</si>
  <si>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</si>
  <si>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</si>
  <si>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</si>
  <si>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</si>
  <si>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</si>
  <si>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</si>
  <si>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</si>
  <si>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</si>
  <si>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</si>
  <si>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</si>
  <si>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</si>
  <si>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</si>
  <si>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</si>
  <si>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</si>
  <si>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</si>
  <si>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</si>
  <si>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</si>
  <si>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</si>
  <si>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</si>
  <si>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</si>
  <si>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</si>
  <si>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</si>
  <si>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</si>
  <si>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</si>
  <si>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</si>
  <si>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</si>
  <si>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</si>
  <si>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</si>
  <si>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</si>
  <si>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</si>
  <si>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</si>
  <si>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</si>
  <si>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</si>
  <si>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</si>
  <si>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</si>
  <si>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</si>
  <si>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</si>
  <si>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</si>
  <si>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</si>
  <si>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</si>
  <si>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</si>
  <si>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</si>
  <si>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</si>
  <si>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</si>
  <si>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</si>
  <si>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</si>
  <si>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</si>
  <si>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</si>
  <si>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</si>
  <si>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</si>
  <si>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</si>
  <si>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</si>
  <si>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</si>
  <si>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</si>
  <si>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</si>
  <si>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</si>
  <si>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</si>
  <si>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</si>
  <si>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</si>
  <si>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</si>
  <si>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</si>
  <si>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</si>
  <si>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</si>
  <si>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</si>
  <si>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</si>
  <si>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</si>
  <si>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</si>
  <si>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</si>
  <si>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</si>
  <si>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</si>
  <si>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</si>
  <si>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</si>
  <si>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</si>
  <si>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</si>
  <si>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</si>
  <si>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</si>
  <si>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</si>
  <si>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</si>
  <si>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</si>
  <si>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</si>
  <si>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</si>
  <si>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</si>
  <si>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</si>
  <si>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</si>
  <si>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</si>
  <si>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</si>
  <si>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</si>
  <si>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</si>
  <si>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</si>
  <si>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</si>
  <si>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</si>
  <si>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</si>
  <si>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</si>
  <si>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</si>
  <si>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</si>
  <si>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</si>
  <si>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</si>
  <si>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</si>
  <si>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</si>
  <si>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</si>
  <si>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</si>
  <si>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</si>
  <si>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</si>
  <si>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</si>
  <si>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</si>
  <si>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</si>
  <si>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</si>
  <si>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</si>
  <si>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</si>
  <si>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</si>
  <si>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</si>
  <si>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</si>
  <si>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</si>
  <si>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</si>
  <si>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</si>
  <si>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</si>
  <si>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</si>
  <si>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</si>
  <si>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</si>
  <si>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</si>
  <si>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</si>
  <si>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</si>
  <si>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</si>
  <si>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</si>
  <si>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</si>
  <si>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</si>
  <si>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</si>
  <si>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</si>
  <si>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</si>
  <si>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</si>
  <si>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</si>
  <si>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</si>
  <si>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</si>
  <si>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</si>
  <si>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</si>
  <si>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</si>
  <si>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</si>
  <si>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</si>
  <si>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</si>
  <si>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</si>
  <si>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</si>
  <si>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</si>
  <si>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</si>
  <si>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</si>
  <si>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</si>
  <si>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</si>
  <si>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</si>
  <si>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</si>
  <si>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</si>
  <si>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</si>
  <si>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</si>
  <si>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</si>
  <si>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</si>
  <si>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</si>
  <si>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</si>
  <si>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</si>
  <si>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</si>
  <si>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</si>
  <si>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</si>
  <si>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</si>
  <si>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</si>
  <si>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</si>
  <si>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</si>
  <si>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</si>
  <si>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</si>
  <si>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</si>
  <si>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</si>
  <si>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</si>
  <si>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</si>
  <si>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</si>
  <si>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</si>
  <si>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</si>
  <si>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</si>
  <si>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</si>
  <si>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</si>
  <si>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</si>
  <si>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</si>
  <si>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</si>
  <si>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</si>
  <si>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</si>
  <si>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</si>
  <si>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</si>
  <si>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</si>
  <si>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</si>
  <si>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</si>
  <si>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</si>
  <si>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</si>
  <si>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</si>
  <si>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</si>
  <si>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</si>
  <si>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</si>
  <si>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</si>
  <si>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</si>
  <si>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</si>
  <si>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</si>
  <si>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</si>
  <si>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</si>
  <si>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</si>
  <si>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</si>
  <si>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</si>
  <si>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</si>
  <si>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</si>
  <si>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</si>
  <si>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</si>
  <si>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</si>
  <si>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</si>
  <si>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</si>
  <si>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</si>
  <si>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</si>
  <si>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</si>
  <si>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</si>
  <si>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</si>
  <si>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</si>
  <si>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</si>
  <si>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</si>
  <si>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</si>
  <si>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</si>
  <si>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</si>
  <si>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</si>
  <si>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</si>
  <si>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</si>
  <si>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</si>
  <si>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</si>
  <si>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</si>
  <si>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</si>
  <si>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</si>
  <si>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</si>
  <si>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</si>
  <si>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</si>
  <si>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</si>
  <si>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</si>
  <si>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</si>
  <si>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</si>
  <si>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</si>
  <si>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</si>
  <si>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</si>
  <si>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</si>
  <si>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</si>
  <si>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</si>
  <si>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</si>
  <si>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</si>
  <si>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</si>
  <si>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</si>
  <si>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</si>
  <si>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</si>
  <si>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</si>
  <si>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</si>
  <si>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</si>
  <si>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</si>
  <si>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</si>
  <si>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</si>
  <si>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</si>
  <si>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</si>
  <si>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</si>
  <si>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</si>
  <si>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</si>
  <si>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</si>
  <si>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</si>
  <si>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</si>
  <si>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</si>
  <si>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</si>
  <si>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</si>
  <si>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</si>
  <si>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</si>
  <si>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</si>
  <si>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</si>
  <si>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</si>
  <si>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</si>
  <si>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</si>
  <si>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</si>
  <si>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</si>
  <si>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</si>
  <si>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</si>
  <si>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</si>
  <si>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</si>
  <si>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</si>
  <si>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</si>
  <si>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</si>
  <si>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</si>
  <si>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</si>
  <si>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</si>
  <si>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</si>
  <si>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</si>
  <si>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</si>
  <si>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</si>
  <si>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</si>
  <si>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</si>
  <si>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</si>
  <si>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</si>
  <si>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</si>
  <si>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</si>
  <si>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</si>
  <si>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</si>
  <si>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</si>
  <si>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</si>
  <si>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</si>
  <si>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</si>
  <si>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</si>
  <si>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</si>
  <si>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</si>
  <si>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</si>
  <si>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</si>
  <si>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</si>
  <si>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</si>
  <si>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</si>
  <si>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</si>
  <si>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</si>
  <si>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</si>
  <si>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</si>
  <si>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</si>
  <si>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</si>
  <si>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</si>
  <si>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</si>
  <si>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</si>
  <si>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</si>
  <si>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</si>
  <si>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</si>
  <si>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</si>
  <si>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</si>
  <si>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</si>
  <si>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</si>
  <si>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</si>
  <si>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</si>
  <si>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</si>
  <si>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</si>
  <si>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</si>
  <si>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</si>
  <si>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</si>
  <si>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</si>
  <si>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</si>
  <si>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</si>
  <si>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</si>
  <si>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</si>
  <si>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</si>
  <si>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</si>
  <si>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</si>
  <si>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</si>
  <si>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</si>
  <si>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</si>
  <si>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</si>
  <si>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</si>
  <si>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</si>
  <si>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</si>
  <si>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</si>
  <si>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</si>
  <si>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</si>
  <si>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</si>
  <si>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</si>
  <si>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</si>
  <si>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</si>
  <si>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</si>
  <si>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</si>
  <si>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</si>
  <si>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</si>
  <si>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</si>
  <si>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</si>
  <si>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</si>
  <si>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</si>
  <si>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</si>
  <si>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</si>
  <si>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</si>
  <si>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</si>
  <si>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</si>
  <si>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</si>
  <si>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</si>
  <si>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</si>
  <si>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</si>
  <si>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</si>
  <si>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</si>
  <si>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</si>
  <si>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</si>
  <si>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</si>
  <si>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</si>
  <si>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</si>
  <si>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</si>
  <si>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</si>
  <si>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</si>
  <si>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</si>
  <si>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</si>
  <si>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</si>
  <si>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</si>
  <si>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</si>
  <si>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</si>
  <si>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</si>
  <si>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</si>
  <si>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</si>
  <si>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</si>
  <si>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</si>
  <si>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</si>
  <si>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</si>
  <si>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</si>
  <si>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</si>
  <si>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</si>
  <si>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</si>
  <si>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</si>
  <si>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</si>
  <si>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</si>
  <si>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</si>
  <si>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</si>
  <si>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</si>
  <si>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</si>
  <si>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</si>
  <si>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</si>
  <si>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</si>
  <si>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</si>
  <si>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</si>
  <si>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</si>
  <si>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</si>
  <si>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</si>
  <si>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</si>
  <si>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</si>
  <si>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</si>
  <si>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</si>
  <si>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</si>
  <si>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</si>
  <si>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</si>
  <si>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</si>
  <si>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</si>
  <si>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</si>
  <si>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</si>
  <si>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</si>
  <si>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</si>
  <si>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</si>
  <si>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</si>
  <si>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</si>
  <si>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</si>
  <si>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</si>
  <si>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</si>
  <si>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</si>
  <si>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</si>
  <si>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</si>
  <si>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</si>
  <si>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</si>
  <si>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</si>
  <si>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</si>
  <si>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</si>
  <si>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</si>
  <si>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</si>
  <si>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</si>
  <si>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</si>
  <si>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</si>
  <si>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</si>
  <si>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</si>
  <si>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</si>
  <si>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</si>
  <si>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</si>
  <si>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</si>
  <si>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</si>
  <si>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</si>
  <si>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</si>
  <si>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</si>
  <si>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</si>
  <si>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</si>
  <si>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</si>
  <si>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</si>
  <si>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</si>
  <si>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</si>
  <si>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</si>
  <si>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</si>
  <si>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</si>
  <si>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</si>
  <si>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</si>
  <si>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</si>
  <si>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</si>
  <si>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</si>
  <si>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</si>
  <si>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</si>
  <si>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</si>
  <si>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</si>
  <si>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</si>
  <si>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</si>
  <si>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</si>
  <si>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</si>
  <si>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</si>
  <si>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</si>
  <si>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</si>
  <si>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</si>
  <si>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</si>
  <si>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</si>
  <si>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</si>
  <si>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</si>
  <si>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</si>
  <si>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</si>
  <si>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</si>
  <si>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</si>
  <si>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</si>
  <si>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</si>
  <si>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</si>
  <si>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</si>
  <si>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</si>
  <si>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</si>
  <si>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</si>
  <si>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</si>
  <si>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</si>
  <si>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</si>
  <si>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</si>
  <si>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</si>
  <si>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</si>
  <si>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</si>
  <si>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</si>
  <si>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</si>
  <si>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</si>
  <si>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</si>
  <si>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</si>
  <si>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</si>
  <si>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</si>
  <si>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</si>
  <si>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</si>
  <si>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</si>
  <si>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</si>
  <si>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</si>
  <si>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</si>
  <si>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</si>
  <si>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</si>
  <si>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</si>
  <si>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</si>
  <si>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</si>
  <si>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</si>
  <si>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</si>
  <si>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</si>
  <si>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</si>
  <si>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</si>
  <si>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</si>
  <si>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</si>
  <si>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</si>
  <si>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</si>
  <si>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</si>
  <si>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</si>
  <si>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</si>
  <si>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</si>
  <si>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</si>
  <si>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</si>
  <si>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</si>
  <si>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</si>
  <si>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</si>
  <si>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</si>
  <si>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</si>
  <si>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</si>
  <si>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</si>
  <si>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</si>
  <si>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</si>
  <si>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</si>
  <si>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</si>
  <si>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</si>
  <si>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</si>
  <si>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</si>
  <si>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</si>
  <si>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</si>
  <si>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</si>
  <si>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</si>
  <si>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</si>
  <si>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</si>
  <si>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</si>
  <si>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</si>
  <si>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</si>
  <si>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</si>
  <si>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</si>
  <si>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</si>
  <si>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</si>
  <si>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</si>
  <si>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</si>
  <si>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</si>
  <si>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</si>
  <si>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</si>
  <si>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</si>
  <si>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</si>
  <si>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</si>
  <si>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</si>
  <si>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</si>
  <si>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</si>
  <si>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</si>
  <si>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</si>
  <si>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</si>
  <si>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</si>
  <si>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</si>
  <si>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</si>
  <si>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</si>
  <si>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</si>
  <si>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</si>
  <si>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</si>
  <si>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</si>
  <si>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</si>
  <si>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</si>
  <si>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</si>
  <si>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</si>
  <si>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</si>
  <si>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</si>
  <si>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</si>
  <si>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</si>
  <si>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</si>
  <si>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</si>
  <si>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</si>
  <si>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</si>
  <si>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</si>
  <si>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</si>
  <si>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</si>
  <si>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</si>
  <si>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</si>
  <si>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</si>
  <si>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</si>
  <si>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</si>
  <si>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</si>
  <si>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</si>
  <si>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</si>
  <si>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</si>
  <si>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</si>
  <si>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</si>
  <si>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</si>
  <si>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</si>
  <si>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</si>
  <si>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</si>
  <si>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</si>
  <si>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</si>
  <si>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</si>
  <si>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</si>
  <si>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</si>
  <si>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</si>
  <si>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</si>
  <si>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</si>
  <si>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</si>
  <si>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</si>
  <si>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</si>
  <si>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</si>
  <si>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</si>
  <si>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</si>
  <si>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</si>
  <si>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</si>
  <si>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</si>
  <si>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</si>
  <si>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</si>
  <si>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</si>
  <si>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</si>
  <si>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</si>
  <si>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</si>
  <si>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</si>
  <si>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</si>
  <si>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</si>
  <si>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</si>
  <si>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</si>
  <si>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</si>
  <si>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</si>
  <si>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</si>
  <si>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</si>
  <si>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</si>
  <si>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</si>
  <si>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</si>
  <si>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</si>
  <si>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</si>
  <si>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</si>
  <si>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</si>
  <si>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</si>
  <si>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</si>
  <si>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</si>
  <si>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</si>
  <si>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</si>
  <si>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</si>
  <si>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</si>
  <si>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</si>
  <si>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</si>
  <si>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</si>
  <si>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</si>
  <si>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</si>
  <si>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</si>
  <si>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</si>
  <si>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</si>
  <si>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</si>
  <si>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</si>
  <si>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</si>
  <si>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</si>
  <si>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</si>
  <si>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</si>
  <si>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</si>
  <si>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</si>
  <si>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</si>
  <si>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</si>
  <si>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</si>
  <si>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</si>
  <si>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</si>
  <si>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</si>
  <si>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</si>
  <si>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</si>
  <si>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</si>
  <si>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</si>
  <si>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</si>
  <si>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</si>
  <si>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</si>
  <si>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</si>
  <si>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</si>
  <si>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</si>
  <si>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</si>
  <si>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</si>
  <si>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</si>
  <si>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</si>
  <si>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</si>
  <si>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</si>
  <si>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</si>
  <si>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</si>
  <si>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</si>
  <si>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</si>
  <si>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</si>
  <si>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</si>
  <si>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</si>
  <si>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</si>
  <si>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</si>
  <si>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</si>
  <si>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</si>
  <si>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</si>
  <si>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</si>
  <si>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</si>
  <si>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</si>
  <si>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</si>
  <si>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</si>
  <si>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</si>
  <si>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</si>
  <si>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</si>
  <si>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</si>
  <si>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</si>
  <si>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</si>
  <si>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</si>
  <si>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</si>
  <si>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</si>
  <si>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</si>
  <si>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</si>
  <si>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</si>
  <si>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</si>
  <si>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</si>
  <si>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</si>
  <si>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</si>
  <si>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</si>
  <si>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</si>
  <si>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</si>
  <si>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</si>
  <si>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</si>
  <si>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</si>
  <si>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</si>
  <si>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</si>
  <si>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</si>
  <si>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</si>
  <si>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</si>
  <si>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</si>
  <si>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</si>
  <si>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</si>
  <si>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</si>
  <si>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</si>
  <si>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</si>
  <si>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</si>
  <si>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</si>
  <si>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</si>
  <si>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</si>
  <si>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</si>
  <si>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</si>
  <si>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</si>
  <si>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</si>
  <si>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</si>
  <si>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</si>
  <si>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</si>
  <si>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</si>
  <si>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</si>
  <si>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</si>
  <si>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</si>
  <si>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</si>
  <si>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</si>
  <si>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</si>
  <si>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</si>
  <si>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</si>
  <si>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</si>
  <si>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</si>
  <si>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</si>
  <si>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</si>
  <si>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</si>
  <si>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</si>
  <si>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</si>
  <si>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</si>
  <si>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</si>
  <si>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</si>
  <si>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</si>
  <si>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</si>
  <si>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</si>
  <si>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</si>
  <si>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</si>
  <si>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</si>
  <si>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</si>
  <si>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</si>
  <si>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</si>
  <si>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</si>
  <si>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</si>
  <si>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</si>
  <si>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</si>
  <si>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</si>
  <si>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</si>
  <si>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</si>
  <si>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</si>
  <si>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</si>
  <si>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</si>
  <si>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</si>
  <si>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</si>
  <si>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</si>
  <si>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</si>
  <si>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</si>
  <si>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</si>
  <si>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</si>
  <si>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</si>
  <si>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</si>
  <si>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</si>
  <si>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</si>
  <si>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</si>
  <si>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</si>
  <si>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</si>
  <si>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</si>
  <si>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</si>
  <si>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</si>
  <si>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</si>
  <si>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</si>
  <si>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</si>
  <si>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</si>
  <si>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</si>
  <si>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</si>
  <si>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</si>
  <si>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</si>
  <si>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</si>
  <si>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</si>
  <si>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</si>
  <si>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</si>
  <si>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</si>
  <si>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</si>
  <si>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</si>
  <si>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</si>
  <si>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</si>
  <si>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</si>
  <si>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</si>
  <si>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</si>
  <si>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</si>
  <si>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</si>
  <si>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</si>
  <si>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</si>
  <si>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</si>
  <si>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</si>
  <si>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</si>
  <si>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</si>
  <si>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</si>
  <si>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</si>
  <si>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</si>
  <si>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</si>
  <si>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</si>
  <si>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</si>
  <si>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</si>
  <si>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</si>
  <si>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</si>
  <si>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</si>
  <si>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</si>
  <si>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</si>
  <si>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</si>
  <si>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</si>
  <si>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</si>
  <si>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</si>
  <si>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</si>
  <si>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</si>
  <si>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</si>
  <si>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</si>
  <si>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</si>
  <si>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</si>
  <si>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</si>
  <si>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</si>
  <si>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</si>
  <si>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</si>
  <si>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</si>
  <si>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</si>
  <si>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</si>
  <si>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</si>
  <si>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</si>
  <si>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</si>
  <si>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</si>
  <si>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</si>
  <si>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</si>
  <si>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</si>
  <si>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</si>
  <si>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</si>
  <si>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</si>
  <si>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</si>
  <si>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</si>
  <si>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</si>
  <si>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</si>
  <si>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</si>
  <si>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</si>
  <si>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</si>
  <si>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</si>
  <si>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</si>
  <si>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</si>
  <si>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</si>
  <si>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</si>
  <si>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</si>
  <si>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</si>
  <si>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</si>
  <si>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</si>
  <si>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</si>
  <si>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</si>
  <si>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</si>
  <si>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</si>
  <si>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</si>
  <si>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</si>
  <si>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</si>
  <si>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</si>
  <si>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</si>
  <si>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</si>
  <si>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</si>
  <si>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</si>
  <si>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</si>
  <si>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</si>
  <si>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</si>
  <si>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</si>
  <si>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</si>
  <si>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</si>
  <si>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</si>
  <si>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</si>
  <si>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</si>
  <si>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</si>
  <si>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</si>
  <si>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</si>
  <si>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</si>
  <si>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</si>
  <si>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</si>
  <si>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</si>
  <si>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</si>
  <si>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</si>
  <si>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</si>
  <si>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</si>
  <si>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</si>
  <si>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</si>
  <si>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</si>
  <si>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</si>
  <si>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</si>
  <si>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</si>
  <si>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</si>
  <si>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</si>
  <si>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</si>
  <si>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</si>
  <si>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</si>
  <si>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</si>
  <si>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</si>
  <si>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</si>
  <si>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</si>
  <si>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</si>
  <si>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</si>
  <si>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</si>
  <si>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</si>
  <si>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</si>
  <si>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</si>
  <si>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</si>
  <si>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</si>
  <si>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</si>
  <si>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</si>
  <si>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</si>
  <si>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</si>
  <si>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</si>
  <si>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</si>
  <si>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</si>
  <si>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</si>
  <si>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</si>
  <si>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</si>
  <si>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</si>
  <si>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</si>
  <si>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</si>
  <si>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</si>
  <si>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</si>
  <si>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</si>
  <si>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</si>
  <si>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</si>
  <si>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</si>
  <si>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</si>
  <si>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</si>
  <si>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</si>
  <si>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</si>
  <si>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</si>
  <si>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</si>
  <si>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</si>
  <si>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</si>
  <si>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</si>
  <si>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</si>
  <si>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</si>
  <si>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</si>
  <si>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</si>
  <si>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</si>
  <si>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</si>
  <si>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</si>
  <si>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</si>
  <si>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</si>
  <si>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</si>
  <si>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</si>
  <si>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</si>
  <si>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</si>
  <si>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</si>
  <si>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</si>
  <si>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</si>
  <si>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</si>
  <si>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</si>
  <si>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</si>
  <si>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</si>
  <si>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</si>
  <si>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</si>
  <si>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</si>
  <si>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</si>
  <si>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</si>
  <si>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</si>
  <si>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</si>
  <si>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</si>
  <si>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</si>
  <si>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</si>
  <si>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</si>
  <si>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</si>
  <si>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</si>
  <si>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</si>
  <si>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</si>
  <si>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</si>
  <si>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</si>
  <si>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</si>
  <si>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</si>
  <si>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</si>
  <si>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</si>
  <si>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</si>
  <si>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</si>
  <si>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</si>
  <si>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</si>
  <si>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</si>
  <si>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</si>
  <si>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</si>
  <si>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</si>
  <si>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</si>
  <si>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</si>
  <si>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</si>
  <si>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</si>
  <si>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</si>
  <si>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</si>
  <si>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</si>
  <si>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</si>
  <si>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</si>
  <si>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</si>
  <si>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</si>
  <si>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</si>
  <si>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</si>
  <si>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</si>
  <si>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</si>
  <si>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</si>
  <si>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</si>
  <si>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</si>
  <si>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</si>
  <si>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</si>
  <si>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</si>
  <si>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</si>
  <si>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</si>
  <si>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</si>
  <si>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</si>
  <si>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</si>
  <si>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</si>
  <si>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</si>
  <si>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</si>
  <si>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</si>
  <si>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</si>
  <si>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</si>
  <si>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</si>
  <si>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</si>
  <si>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</si>
  <si>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</si>
  <si>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</si>
  <si>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</si>
  <si>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</si>
  <si>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</si>
  <si>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</si>
  <si>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</si>
  <si>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</si>
  <si>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</si>
  <si>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</si>
  <si>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</si>
  <si>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</si>
  <si>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</si>
  <si>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</si>
  <si>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</si>
  <si>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</si>
  <si>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</si>
  <si>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</si>
  <si>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</si>
  <si>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</si>
  <si>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</si>
  <si>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</si>
  <si>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</si>
  <si>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</si>
  <si>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</si>
  <si>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</si>
  <si>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</si>
  <si>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</si>
  <si>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</si>
  <si>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</si>
  <si>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</si>
  <si>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</si>
  <si>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</si>
  <si>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</si>
  <si>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</si>
  <si>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</si>
  <si>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</si>
  <si>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</si>
  <si>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</si>
  <si>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</si>
  <si>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</si>
  <si>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</si>
  <si>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</si>
  <si>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</si>
  <si>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</si>
  <si>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</si>
  <si>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</si>
  <si>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</si>
  <si>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</si>
  <si>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</si>
  <si>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</si>
  <si>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</si>
  <si>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</si>
  <si>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</si>
  <si>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</si>
  <si>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</si>
  <si>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</si>
  <si>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</si>
  <si>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</si>
  <si>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</si>
  <si>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</si>
  <si>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</si>
  <si>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</si>
  <si>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</si>
  <si>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</si>
  <si>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</si>
  <si>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</si>
  <si>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</si>
  <si>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</si>
  <si>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</si>
  <si>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</si>
  <si>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</si>
  <si>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</si>
  <si>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</si>
  <si>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</si>
  <si>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</si>
  <si>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</si>
  <si>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</si>
  <si>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</si>
  <si>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</si>
  <si>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</si>
  <si>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</si>
  <si>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</si>
  <si>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</si>
  <si>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</si>
  <si>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</si>
  <si>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</si>
  <si>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</si>
  <si>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</si>
  <si>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</si>
  <si>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</si>
  <si>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</si>
  <si>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</si>
  <si>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</si>
  <si>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</si>
  <si>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</si>
  <si>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</si>
  <si>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</si>
  <si>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</si>
  <si>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</si>
  <si>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</si>
  <si>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</si>
  <si>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</si>
  <si>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</si>
  <si>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</si>
  <si>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</si>
  <si>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</si>
  <si>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</si>
  <si>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</si>
  <si>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</si>
  <si>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</si>
  <si>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</si>
  <si>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</si>
  <si>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</si>
  <si>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</si>
  <si>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</si>
  <si>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</si>
  <si>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</si>
  <si>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</si>
  <si>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</si>
  <si>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</si>
  <si>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</si>
  <si>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</si>
  <si>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</si>
  <si>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</si>
  <si>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</si>
  <si>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</si>
  <si>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</si>
  <si>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</si>
  <si>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</si>
  <si>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</si>
  <si>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</si>
  <si>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</si>
  <si>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</si>
  <si>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</si>
  <si>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</si>
  <si>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</si>
  <si>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</si>
  <si>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</si>
  <si>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</si>
  <si>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</si>
  <si>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</si>
  <si>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</si>
  <si>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</si>
  <si>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</si>
  <si>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</si>
  <si>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</si>
  <si>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</si>
  <si>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</si>
  <si>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</si>
  <si>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</si>
  <si>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</si>
  <si>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</si>
  <si>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</si>
  <si>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</si>
  <si>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</si>
  <si>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</si>
  <si>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</si>
  <si>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</si>
  <si>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</si>
  <si>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</si>
  <si>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</si>
  <si>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</si>
  <si>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</si>
  <si>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</si>
  <si>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</si>
  <si>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</si>
  <si>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</si>
  <si>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</si>
  <si>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</si>
  <si>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</si>
  <si>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</si>
  <si>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</si>
  <si>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</si>
  <si>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</si>
  <si>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</si>
  <si>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</si>
  <si>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</si>
  <si>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</si>
  <si>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</si>
  <si>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</si>
  <si>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</si>
  <si>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</si>
  <si>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</si>
  <si>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</si>
  <si>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</si>
  <si>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</si>
  <si>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</si>
  <si>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</si>
  <si>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</si>
  <si>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</si>
  <si>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</si>
  <si>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</si>
  <si>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</si>
  <si>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</si>
  <si>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</si>
  <si>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</si>
  <si>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</si>
  <si>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</si>
  <si>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</si>
  <si>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</si>
  <si>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</si>
  <si>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</si>
  <si>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</si>
  <si>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</si>
  <si>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</si>
  <si>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</si>
  <si>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</si>
  <si>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</si>
  <si>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</si>
  <si>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</si>
  <si>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</si>
  <si>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</si>
  <si>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</si>
  <si>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</si>
  <si>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</si>
  <si>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</si>
  <si>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</si>
  <si>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</si>
  <si>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</si>
  <si>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</si>
  <si>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</si>
  <si>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</si>
  <si>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</si>
  <si>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</si>
  <si>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</si>
  <si>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</si>
  <si>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</si>
  <si>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</si>
  <si>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</si>
  <si>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</si>
  <si>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</si>
  <si>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</si>
  <si>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</si>
  <si>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</si>
  <si>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</si>
  <si>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</si>
  <si>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</si>
  <si>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</si>
  <si>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</si>
  <si>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</si>
  <si>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</si>
  <si>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</si>
  <si>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</si>
  <si>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</si>
  <si>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</si>
  <si>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</si>
  <si>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</si>
  <si>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</si>
  <si>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Pledged</t>
  </si>
  <si>
    <t>Median Goal</t>
  </si>
  <si>
    <t>Successful</t>
  </si>
  <si>
    <t>Failed</t>
  </si>
  <si>
    <t>Mean Pledged</t>
  </si>
  <si>
    <t>Upper Quartile of Goal</t>
  </si>
  <si>
    <t>IQR of Goal</t>
  </si>
  <si>
    <t>Standard Deviation of Goal</t>
  </si>
  <si>
    <t>Standard Deviation of Pledged</t>
  </si>
  <si>
    <t>Upper Quartile of Pledged</t>
  </si>
  <si>
    <t>IQR of Pledged</t>
  </si>
  <si>
    <t>Lower Quartile of Goal</t>
  </si>
  <si>
    <t>Lower Quartile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</si>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</sst>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9-42AF-A83A-5061BBBFBE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9-42AF-A83A-5061BBBFBE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9-42AF-A83A-5061BBBFBE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F9-42AF-A83A-5061BBBF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6183023"/>
        <c:axId val="1766180111"/>
      </c:barChart>
      <c:catAx>
        <c:axId val="176618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180111"/>
        <c:crosses val="autoZero"/>
        <c:auto val="1"/>
        <c:lblAlgn val="ctr"/>
        <c:lblOffset val="100"/>
        <c:noMultiLvlLbl val="0"/>
      </c:catAx>
      <c:valAx>
        <c:axId val="176618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18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1-4F31-BBD3-03C37E86A139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81-4F31-BBD3-03C37E86A139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81-4F31-BBD3-03C37E86A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0159967"/>
        <c:axId val="1730155807"/>
      </c:barChart>
      <c:catAx>
        <c:axId val="173015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155807"/>
        <c:crosses val="autoZero"/>
        <c:auto val="1"/>
        <c:lblAlgn val="ctr"/>
        <c:lblOffset val="100"/>
        <c:noMultiLvlLbl val="0"/>
      </c:catAx>
      <c:valAx>
        <c:axId val="173015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1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2-4B27-A36B-A64191F56B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22-4B27-A36B-A64191F56B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22-4B27-A36B-A64191F56B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22-4B27-A36B-A64191F56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334975"/>
        <c:axId val="1485334559"/>
      </c:lineChart>
      <c:catAx>
        <c:axId val="148533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334559"/>
        <c:crosses val="autoZero"/>
        <c:auto val="1"/>
        <c:lblAlgn val="ctr"/>
        <c:lblOffset val="100"/>
        <c:noMultiLvlLbl val="0"/>
      </c:catAx>
      <c:valAx>
        <c:axId val="148533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33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Goal'!$F$2:$F$15</c:f>
              <c:numCache>
                <c:formatCode>0%</c:formatCode>
                <c:ptCount val="14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9-4451-A8D6-BC37CFBA63C5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Goal'!$G$2:$G$15</c:f>
              <c:numCache>
                <c:formatCode>0%</c:formatCode>
                <c:ptCount val="14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9-4451-A8D6-BC37CFBA63C5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Goal'!$H$2:$H$15</c:f>
              <c:numCache>
                <c:formatCode>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E9-4451-A8D6-BC37CFBA6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357631"/>
        <c:axId val="1093359295"/>
      </c:lineChart>
      <c:catAx>
        <c:axId val="109335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359295"/>
        <c:crosses val="autoZero"/>
        <c:auto val="1"/>
        <c:lblAlgn val="ctr"/>
        <c:lblOffset val="100"/>
        <c:noMultiLvlLbl val="0"/>
      </c:catAx>
      <c:valAx>
        <c:axId val="109335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35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561664441067674E-2"/>
          <c:y val="0.21159029228489298"/>
          <c:w val="0.77787662507098898"/>
          <c:h val="0.6609216258681950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8-4C9D-BB8E-5977B11FDF4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8-4C9D-BB8E-5977B11FDF4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8-4C9D-BB8E-5977B11FD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667263"/>
        <c:axId val="1661668095"/>
      </c:lineChart>
      <c:catAx>
        <c:axId val="166166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668095"/>
        <c:crosses val="autoZero"/>
        <c:auto val="1"/>
        <c:lblAlgn val="ctr"/>
        <c:lblOffset val="100"/>
        <c:noMultiLvlLbl val="0"/>
      </c:catAx>
      <c:valAx>
        <c:axId val="166166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66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13</xdr:row>
      <xdr:rowOff>90487</xdr:rowOff>
    </xdr:from>
    <xdr:to>
      <xdr:col>15</xdr:col>
      <xdr:colOff>228600</xdr:colOff>
      <xdr:row>27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FC07F-D515-4D23-8DC6-1464E9309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14</xdr:row>
      <xdr:rowOff>42862</xdr:rowOff>
    </xdr:from>
    <xdr:to>
      <xdr:col>17</xdr:col>
      <xdr:colOff>361950</xdr:colOff>
      <xdr:row>28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DFC73-D60E-4C70-AF53-6E0459E9A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</xdr:colOff>
      <xdr:row>3</xdr:row>
      <xdr:rowOff>138112</xdr:rowOff>
    </xdr:from>
    <xdr:to>
      <xdr:col>13</xdr:col>
      <xdr:colOff>158115</xdr:colOff>
      <xdr:row>18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D3A49-FB9D-4E0B-82CC-9BB8D1B83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17</xdr:row>
      <xdr:rowOff>163830</xdr:rowOff>
    </xdr:from>
    <xdr:to>
      <xdr:col>6</xdr:col>
      <xdr:colOff>480060</xdr:colOff>
      <xdr:row>32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5C288-4D45-4987-A767-F9E31A778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148590</xdr:rowOff>
    </xdr:from>
    <xdr:to>
      <xdr:col>9</xdr:col>
      <xdr:colOff>38100</xdr:colOff>
      <xdr:row>43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846EAA-4869-4BE3-9854-EB25C3097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ha" refreshedDate="44428.549121064818" createdVersion="7" refreshedVersion="7" minRefreshableVersion="3" recordCount="4114" xr:uid="{75E16E0A-0B8D-4AE1-BF70-396A7FF6A9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ha" refreshedDate="44428.563982175925" createdVersion="7" refreshedVersion="7" minRefreshableVersion="3" recordCount="4115" xr:uid="{73064441-864F-4524-B902-6FABAF7B370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ha" refreshedDate="44428.725007291665" createdVersion="7" refreshedVersion="7" minRefreshableVersion="3" recordCount="4118" xr:uid="{FAC7E2D5-66C6-4096-9450-8675812C2115}">
  <cacheSource type="worksheet">
    <worksheetSource ref="A1:T4115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uha" refreshedDate="44431.675018865739" createdVersion="7" refreshedVersion="7" minRefreshableVersion="3" recordCount="4119" xr:uid="{14213628-ED35-45E0-A60A-9D17B92F10B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9DDD4-0EA0-4C85-8973-6C2ED13D89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2137C-FADD-4E37-83AD-A6CC8DA9574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F8EE6-3B06-4D0B-A80E-DC6DC9CAAF66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C5954-CE82-49B8-A023-A96D58EC7CA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77E9C-0417-4774-87AD-C2DFE326B5DB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439A2-8368-42F4-A225-9C0F1ED1AE49}">
  <dimension ref="A1:E6"/>
  <sheetViews>
    <sheetView topLeftCell="E1" workbookViewId="0">
      <selection activeCell="U15" sqref="U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8222</v>
      </c>
      <c r="B1" t="s">
        <v>8364</v>
      </c>
    </row>
    <row r="3" spans="1:5" x14ac:dyDescent="0.25">
      <c r="A3" s="11" t="s">
        <v>8363</v>
      </c>
      <c r="B3" s="11" t="s">
        <v>8360</v>
      </c>
    </row>
    <row r="4" spans="1:5" x14ac:dyDescent="0.25">
      <c r="A4" s="11" t="s">
        <v>8362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2" t="s">
        <v>8316</v>
      </c>
      <c r="B5" s="13">
        <v>353</v>
      </c>
      <c r="C5" s="13">
        <v>19</v>
      </c>
      <c r="D5" s="13">
        <v>694</v>
      </c>
      <c r="E5" s="13">
        <v>1066</v>
      </c>
    </row>
    <row r="6" spans="1:5" x14ac:dyDescent="0.25">
      <c r="A6" s="12" t="s">
        <v>8361</v>
      </c>
      <c r="B6" s="13">
        <v>353</v>
      </c>
      <c r="C6" s="13">
        <v>19</v>
      </c>
      <c r="D6" s="13">
        <v>694</v>
      </c>
      <c r="E6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D6DDC-08FA-413D-9C18-F2264D995C57}">
  <dimension ref="A1:F18"/>
  <sheetViews>
    <sheetView workbookViewId="0">
      <selection activeCell="O21" sqref="O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92502-2E4F-43D0-9C19-AB89942C33F0}">
  <dimension ref="A1:H13"/>
  <sheetViews>
    <sheetView topLeftCell="B4" zoomScale="130" zoomScaleNormal="130"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12.7109375" bestFit="1" customWidth="1"/>
    <col min="4" max="4" width="15.5703125" bestFit="1" customWidth="1"/>
    <col min="5" max="5" width="12.28515625" bestFit="1" customWidth="1"/>
    <col min="6" max="6" width="19.140625" style="16" bestFit="1" customWidth="1"/>
    <col min="7" max="7" width="15.42578125" style="16" bestFit="1" customWidth="1"/>
    <col min="8" max="8" width="18.28515625" bestFit="1" customWidth="1"/>
  </cols>
  <sheetData>
    <row r="1" spans="1:8" x14ac:dyDescent="0.25">
      <c r="A1" t="s">
        <v>8394</v>
      </c>
      <c r="B1" t="s">
        <v>8395</v>
      </c>
      <c r="C1" t="s">
        <v>8396</v>
      </c>
      <c r="D1" t="s">
        <v>8397</v>
      </c>
      <c r="E1" t="s">
        <v>8398</v>
      </c>
      <c r="F1" s="16" t="s">
        <v>8399</v>
      </c>
      <c r="G1" s="16" t="s">
        <v>8400</v>
      </c>
      <c r="H1" t="s">
        <v>8401</v>
      </c>
    </row>
    <row r="2" spans="1:8" x14ac:dyDescent="0.25">
      <c r="A2" t="s">
        <v>8413</v>
      </c>
      <c r="B2">
        <f>COUNTIFS(Kickstarter!$D:$D,"&lt;1000",Kickstarter!$F:$F,"successful",Kickstarter!$R:$R, "plays")</f>
        <v>141</v>
      </c>
      <c r="C2">
        <f>COUNTIFS(Kickstarter!$D:$D,"&lt;1000",Kickstarter!$F:$F,"failed",Kickstarter!$R:$R, "plays")</f>
        <v>45</v>
      </c>
      <c r="D2">
        <f>COUNTIFS(Kickstarter!$D:$D,"&lt;1000",Kickstarter!$F:$F,"canceled",Kickstarter!$R:$R, "plays")</f>
        <v>0</v>
      </c>
      <c r="E2">
        <f>+SUM(B2:D2)</f>
        <v>186</v>
      </c>
      <c r="F2" s="16">
        <f>ROUND(B2/E2,2)</f>
        <v>0.76</v>
      </c>
      <c r="G2" s="16">
        <f>ROUND(C2/E2,2)</f>
        <v>0.24</v>
      </c>
      <c r="H2" s="16">
        <f>ROUND(D2/E2,2)</f>
        <v>0</v>
      </c>
    </row>
    <row r="3" spans="1:8" x14ac:dyDescent="0.25">
      <c r="A3" t="s">
        <v>8402</v>
      </c>
      <c r="B3">
        <f>COUNTIFS(Kickstarter!$D:$D,"&gt;=1000",Kickstarter!$F:$F,"successful",Kickstarter!$D:$D,"&lt;=4999",Kickstarter!$R:$R, "plays")</f>
        <v>388</v>
      </c>
      <c r="C3">
        <f>COUNTIFS(Kickstarter!$D:$D,"&gt;=1000",Kickstarter!$F:$F,"failed",Kickstarter!$D:$D,"&lt;=4999",Kickstarter!$R:$R, "plays")</f>
        <v>146</v>
      </c>
      <c r="D3">
        <f>COUNTIFS(Kickstarter!$D:$D,"&gt;=1000",Kickstarter!$F:$F,"canceled",Kickstarter!$D:$D,"&lt;=4999",Kickstarter!$R:$R, "plays")</f>
        <v>0</v>
      </c>
      <c r="E3">
        <f>+SUM(B3:D3)</f>
        <v>534</v>
      </c>
      <c r="F3" s="16">
        <f t="shared" ref="F3:F13" si="0">ROUND(B3/E3,2)</f>
        <v>0.73</v>
      </c>
      <c r="G3" s="16">
        <f t="shared" ref="G3:G13" si="1">ROUND(C3/E3,2)</f>
        <v>0.27</v>
      </c>
      <c r="H3" s="16">
        <f t="shared" ref="H3:H13" si="2">ROUND(D3/E3,2)</f>
        <v>0</v>
      </c>
    </row>
    <row r="4" spans="1:8" x14ac:dyDescent="0.25">
      <c r="A4" t="s">
        <v>8403</v>
      </c>
      <c r="B4">
        <f>COUNTIFS(Kickstarter!$D:$D,"&gt;=5000",Kickstarter!$F:$F,"successful",Kickstarter!$D:$D,"&lt;=9999",Kickstarter!$R:$R, "plays")</f>
        <v>93</v>
      </c>
      <c r="C4">
        <f>COUNTIFS(Kickstarter!$D:$D,"&gt;=5000",Kickstarter!$F:$F,"failed",Kickstarter!$D:$D,"&lt;=9999",Kickstarter!$R:$R, "plays")</f>
        <v>76</v>
      </c>
      <c r="D4">
        <f>COUNTIFS(Kickstarter!$D:$D,"&gt;=5000",Kickstarter!$F:$F,"canceled",Kickstarter!$D:$D,"&lt;=9999",Kickstarter!$R:$R, "plays")</f>
        <v>0</v>
      </c>
      <c r="E4">
        <f t="shared" ref="E4:E13" si="3">+SUM(B4:D4)</f>
        <v>169</v>
      </c>
      <c r="F4" s="16">
        <f t="shared" si="0"/>
        <v>0.55000000000000004</v>
      </c>
      <c r="G4" s="16">
        <f t="shared" si="1"/>
        <v>0.45</v>
      </c>
      <c r="H4" s="16">
        <f t="shared" si="2"/>
        <v>0</v>
      </c>
    </row>
    <row r="5" spans="1:8" x14ac:dyDescent="0.25">
      <c r="A5" t="s">
        <v>8404</v>
      </c>
      <c r="B5">
        <f>COUNTIFS(Kickstarter!$D:$D,"&gt;=10000",Kickstarter!$F:$F,"successful",Kickstarter!$D:$D,"&lt;=14999",Kickstarter!$R:$R, "plays")</f>
        <v>39</v>
      </c>
      <c r="C5">
        <f>COUNTIFS(Kickstarter!$D:$D,"&gt;=10000",Kickstarter!$F:$F,"failed",Kickstarter!$D:$D,"&lt;=14999",Kickstarter!$R:$R, "plays")</f>
        <v>33</v>
      </c>
      <c r="D5">
        <f>COUNTIFS(Kickstarter!$D:$D,"&gt;=10000",Kickstarter!$F:$F,"canceled",Kickstarter!$D:$D,"&lt;=14999",Kickstarter!$R:$R, "plays")</f>
        <v>0</v>
      </c>
      <c r="E5">
        <f t="shared" si="3"/>
        <v>72</v>
      </c>
      <c r="F5" s="16">
        <f t="shared" si="0"/>
        <v>0.54</v>
      </c>
      <c r="G5" s="16">
        <f t="shared" si="1"/>
        <v>0.46</v>
      </c>
      <c r="H5" s="16">
        <f t="shared" si="2"/>
        <v>0</v>
      </c>
    </row>
    <row r="6" spans="1:8" x14ac:dyDescent="0.25">
      <c r="A6" t="s">
        <v>8405</v>
      </c>
      <c r="B6">
        <f>COUNTIFS(Kickstarter!$D:$D,"&gt;=15000",Kickstarter!$F:$F,"successful",Kickstarter!$D:$D,"&lt;=19999",Kickstarter!$R:$R, "plays")</f>
        <v>12</v>
      </c>
      <c r="C6">
        <f>COUNTIFS(Kickstarter!$D:$D,"&gt;=15000",Kickstarter!$F:$F,"failed",Kickstarter!$D:$D,"&lt;=19999",Kickstarter!$R:$R, "plays")</f>
        <v>12</v>
      </c>
      <c r="D6">
        <f>COUNTIFS(Kickstarter!$D:$D,"&gt;=15000",Kickstarter!$F:$F,"canceled",Kickstarter!$D:$D,"&lt;=19999",Kickstarter!$R:$R, "plays")</f>
        <v>0</v>
      </c>
      <c r="E6">
        <f t="shared" si="3"/>
        <v>24</v>
      </c>
      <c r="F6" s="16">
        <f t="shared" si="0"/>
        <v>0.5</v>
      </c>
      <c r="G6" s="16">
        <f t="shared" si="1"/>
        <v>0.5</v>
      </c>
      <c r="H6" s="16">
        <f t="shared" si="2"/>
        <v>0</v>
      </c>
    </row>
    <row r="7" spans="1:8" x14ac:dyDescent="0.25">
      <c r="A7" t="s">
        <v>8406</v>
      </c>
      <c r="B7">
        <f>COUNTIFS(Kickstarter!$D:$D,"&gt;=20000",Kickstarter!$F:$F,"successful",Kickstarter!$D:$D,"&lt;=24999",Kickstarter!$R:$R, "plays")</f>
        <v>9</v>
      </c>
      <c r="C7">
        <f>COUNTIFS(Kickstarter!$D:$D,"&gt;=20000",Kickstarter!$F:$F,"failed",Kickstarter!$D:$D,"&lt;=24999",Kickstarter!$R:$R, "plays")</f>
        <v>11</v>
      </c>
      <c r="D7">
        <f>COUNTIFS(Kickstarter!$D:$D,"&gt;=20000",Kickstarter!$F:$F,"canceled",Kickstarter!$D:$D,"&lt;=24999",Kickstarter!$R:$R, "plays")</f>
        <v>0</v>
      </c>
      <c r="E7">
        <f t="shared" si="3"/>
        <v>20</v>
      </c>
      <c r="F7" s="16">
        <f t="shared" si="0"/>
        <v>0.45</v>
      </c>
      <c r="G7" s="16">
        <f t="shared" si="1"/>
        <v>0.55000000000000004</v>
      </c>
      <c r="H7" s="16">
        <f t="shared" si="2"/>
        <v>0</v>
      </c>
    </row>
    <row r="8" spans="1:8" x14ac:dyDescent="0.25">
      <c r="A8" t="s">
        <v>8407</v>
      </c>
      <c r="B8">
        <f>COUNTIFS(Kickstarter!$D:$D,"&gt;=25000",Kickstarter!$F:$F,"successful",Kickstarter!$D:$D,"&lt;=29999",Kickstarter!$R:$R, "plays")</f>
        <v>1</v>
      </c>
      <c r="C8">
        <f>COUNTIFS(Kickstarter!$D:$D,"&gt;=25000",Kickstarter!$F:$F,"failed",Kickstarter!$D:$D,"&lt;=29999",Kickstarter!$R:$R, "plays")</f>
        <v>4</v>
      </c>
      <c r="D8">
        <f>COUNTIFS(Kickstarter!$D:$D,"&gt;=25000",Kickstarter!$F:$F,"canceled",Kickstarter!$D:$D,"&lt;=29999",Kickstarter!$R:$R, "plays")</f>
        <v>0</v>
      </c>
      <c r="E8">
        <f t="shared" si="3"/>
        <v>5</v>
      </c>
      <c r="F8" s="16">
        <f t="shared" si="0"/>
        <v>0.2</v>
      </c>
      <c r="G8" s="16">
        <f t="shared" si="1"/>
        <v>0.8</v>
      </c>
      <c r="H8" s="16">
        <f t="shared" si="2"/>
        <v>0</v>
      </c>
    </row>
    <row r="9" spans="1:8" x14ac:dyDescent="0.25">
      <c r="A9" t="s">
        <v>8408</v>
      </c>
      <c r="B9">
        <f>COUNTIFS(Kickstarter!$D:$D,"&gt;=30000",Kickstarter!$F:$F,"successful",Kickstarter!$D:$D,"&lt;=34999",Kickstarter!$R:$R, "plays")</f>
        <v>3</v>
      </c>
      <c r="C9">
        <f>COUNTIFS(Kickstarter!$D:$D,"&gt;=30000",Kickstarter!$F:$F,"failed",Kickstarter!$D:$D,"&lt;=34999",Kickstarter!$R:$R, "plays")</f>
        <v>8</v>
      </c>
      <c r="D9">
        <f>COUNTIFS(Kickstarter!$D:$D,"&gt;=30000",Kickstarter!$F:$F,"canceled",Kickstarter!$D:$D,"&lt;=34999",Kickstarter!$R:$R, "plays")</f>
        <v>0</v>
      </c>
      <c r="E9">
        <f t="shared" si="3"/>
        <v>11</v>
      </c>
      <c r="F9" s="16">
        <f t="shared" si="0"/>
        <v>0.27</v>
      </c>
      <c r="G9" s="16">
        <f t="shared" si="1"/>
        <v>0.73</v>
      </c>
      <c r="H9" s="16">
        <f t="shared" si="2"/>
        <v>0</v>
      </c>
    </row>
    <row r="10" spans="1:8" x14ac:dyDescent="0.25">
      <c r="A10" t="s">
        <v>8409</v>
      </c>
      <c r="B10">
        <f>COUNTIFS(Kickstarter!$D:$D,"&gt;=35000",Kickstarter!$F:$F,"successful",Kickstarter!$D:$D,"&lt;=39999",Kickstarter!$R:$R, "plays")</f>
        <v>4</v>
      </c>
      <c r="C10">
        <f>COUNTIFS(Kickstarter!$D:$D,"&gt;=35000",Kickstarter!$F:$F,"failed",Kickstarter!$D:$D,"&lt;=39999",Kickstarter!$R:$R, "plays")</f>
        <v>2</v>
      </c>
      <c r="D10">
        <f>COUNTIFS(Kickstarter!$D:$D,"&gt;=35000",Kickstarter!$F:$F,"canceled",Kickstarter!$D:$D,"&lt;=39999",Kickstarter!$R:$R, "plays")</f>
        <v>0</v>
      </c>
      <c r="E10">
        <f t="shared" si="3"/>
        <v>6</v>
      </c>
      <c r="F10" s="16">
        <f t="shared" si="0"/>
        <v>0.67</v>
      </c>
      <c r="G10" s="16">
        <f t="shared" si="1"/>
        <v>0.33</v>
      </c>
      <c r="H10" s="16">
        <f t="shared" si="2"/>
        <v>0</v>
      </c>
    </row>
    <row r="11" spans="1:8" x14ac:dyDescent="0.25">
      <c r="A11" t="s">
        <v>8410</v>
      </c>
      <c r="B11">
        <f>COUNTIFS(Kickstarter!$D:$D,"&gt;=40000",Kickstarter!$F:$F,"successful",Kickstarter!$D:$D,"&lt;=44999",Kickstarter!$R:$R, "plays")</f>
        <v>2</v>
      </c>
      <c r="C11">
        <f>COUNTIFS(Kickstarter!$D:$D,"&gt;=40000",Kickstarter!$F:$F,"failed",Kickstarter!$D:$D,"&lt;=44999",Kickstarter!$R:$R, "plays")</f>
        <v>1</v>
      </c>
      <c r="D11">
        <f>COUNTIFS(Kickstarter!$D:$D,"&gt;=40000",Kickstarter!$F:$F,"canceled",Kickstarter!$D:$D,"&lt;=44999",Kickstarter!$R:$R, "plays")</f>
        <v>0</v>
      </c>
      <c r="E11">
        <f t="shared" si="3"/>
        <v>3</v>
      </c>
      <c r="F11" s="16">
        <f t="shared" si="0"/>
        <v>0.67</v>
      </c>
      <c r="G11" s="16">
        <f t="shared" si="1"/>
        <v>0.33</v>
      </c>
      <c r="H11" s="16">
        <f t="shared" si="2"/>
        <v>0</v>
      </c>
    </row>
    <row r="12" spans="1:8" x14ac:dyDescent="0.25">
      <c r="A12" t="s">
        <v>8411</v>
      </c>
      <c r="B12">
        <f>COUNTIFS(Kickstarter!$D:$D,"&gt;=45000",Kickstarter!$F:$F,"successful",Kickstarter!$D:$D,"&lt;=49999",Kickstarter!$R:$R, "plays")</f>
        <v>0</v>
      </c>
      <c r="C12">
        <f>COUNTIFS(Kickstarter!$D:$D,"&gt;=45000",Kickstarter!$F:$F,"failed",Kickstarter!$D:$D,"&lt;=49999",Kickstarter!$R:$R, "plays")</f>
        <v>1</v>
      </c>
      <c r="D12">
        <f>COUNTIFS(Kickstarter!$D:$D,"&gt;=45000",Kickstarter!$F:$F,"canceled",Kickstarter!$D:$D,"&lt;=49999",Kickstarter!$R:$R, "plays")</f>
        <v>0</v>
      </c>
      <c r="E12">
        <f t="shared" si="3"/>
        <v>1</v>
      </c>
      <c r="F12" s="16">
        <f t="shared" si="0"/>
        <v>0</v>
      </c>
      <c r="G12" s="16">
        <f t="shared" si="1"/>
        <v>1</v>
      </c>
      <c r="H12" s="16">
        <f t="shared" si="2"/>
        <v>0</v>
      </c>
    </row>
    <row r="13" spans="1:8" x14ac:dyDescent="0.25">
      <c r="A13" t="s">
        <v>8412</v>
      </c>
      <c r="B13">
        <f>COUNTIFS(Kickstarter!$D:$D,"&gt;50000",Kickstarter!$F:$F,"successful",Kickstarter!$R:$R, "plays")</f>
        <v>2</v>
      </c>
      <c r="C13">
        <f>COUNTIFS(Kickstarter!$D:$D,"&gt;50000",Kickstarter!$F:$F,"failed",Kickstarter!$R:$R, "plays")</f>
        <v>10</v>
      </c>
      <c r="D13">
        <f>COUNTIFS(Kickstarter!$D:$D,"&gt;50000",Kickstarter!$F:$F,"canceled",Kickstarter!$R:$R, "plays")</f>
        <v>0</v>
      </c>
      <c r="E13">
        <f t="shared" si="3"/>
        <v>12</v>
      </c>
      <c r="F13" s="16">
        <f t="shared" si="0"/>
        <v>0.17</v>
      </c>
      <c r="G13" s="16">
        <f t="shared" si="1"/>
        <v>0.83</v>
      </c>
      <c r="H13" s="16">
        <f t="shared" si="2"/>
        <v>0</v>
      </c>
    </row>
  </sheetData>
  <phoneticPr fontId="3" type="noConversion"/>
  <pageMargins left="0.7" right="0.7" top="0.75" bottom="0.75" header="0.3" footer="0.3"/>
  <ignoredErrors>
    <ignoredError sqref="C2:C5 C6:C13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593D2-C718-4BE6-8755-7CB8A77F6C34}">
  <dimension ref="A1:E18"/>
  <sheetViews>
    <sheetView topLeftCell="A7" zoomScaleNormal="100" workbookViewId="0">
      <selection activeCell="B10" sqref="B10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8.5703125" bestFit="1" customWidth="1"/>
    <col min="5" max="5" width="11" bestFit="1" customWidth="1"/>
    <col min="6" max="6" width="7" bestFit="1" customWidth="1"/>
    <col min="7" max="7" width="10.710937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5" zoomScaleNormal="95" workbookViewId="0">
      <pane ySplit="521" topLeftCell="A552" activePane="bottomLeft" state="frozen"/>
      <selection pane="bottomLeft" activeCell="O12" sqref="N12:O52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9.5703125" bestFit="1" customWidth="1"/>
  </cols>
  <sheetData>
    <row r="1" spans="1:21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+YEAR(S2)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+YEAR(S3)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+YEAR(S67)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+YEAR(S131)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+YEAR(S195)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+YEAR(S259)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+YEAR(S323)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+YEAR(S387)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+YEAR(S451)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+YEAR(S515)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+YEAR(S579)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+YEAR(S643)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+YEAR(S707)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+YEAR(S771)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+YEAR(S835)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+YEAR(S899)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+YEAR(S963)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+YEAR(S1027)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+YEAR(S1091)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+YEAR(S1155)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+YEAR(S1219)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+YEAR(S1283)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+YEAR(S1347)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+YEAR(S1411)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+YEAR(S1475)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+YEAR(S1539)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+YEAR(S1603)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+YEAR(S1667)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+YEAR(S1731)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+YEAR(S1795)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+YEAR(S1859)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+YEAR(S1923)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+YEAR(S1987)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+YEAR(S2051)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+YEAR(S2115)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+YEAR(S2179)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+YEAR(S2243)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+YEAR(S2307)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+YEAR(S2371)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+YEAR(S2435)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+YEAR(S2499)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+YEAR(S2563)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+YEAR(S2627)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+YEAR(S2691)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+YEAR(S2755)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+YEAR(S2819)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+YEAR(S2883)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+YEAR(S2947)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+YEAR(S3011)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+YEAR(S3075)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+YEAR(S3139)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>IFERROR(ROUND(E3162/L3162,2),0)</f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+YEAR(S3203)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+YEAR(S3267)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+YEAR(S3331)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+YEAR(S3395)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+YEAR(S3459)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+YEAR(S3523)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+YEAR(S3587)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+YEAR(S3651)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+YEAR(S3715)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+YEAR(S3779)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+YEAR(S3843)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+YEAR(S3907)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+YEAR(S3971)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+YEAR(S4035)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+YEAR(S4099)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percent" val="90"/>
        <color rgb="FFFF0000"/>
        <color theme="4" tint="-0.499984740745262"/>
      </colorScale>
    </cfRule>
    <cfRule type="colorScale" priority="3">
      <colorScale>
        <cfvo type="min"/>
        <cfvo type="percent" val="100"/>
        <color rgb="FFFF0000"/>
        <color theme="4" tint="-0.249977111117893"/>
      </colorScale>
    </cfRule>
    <cfRule type="colorScale" priority="5">
      <colorScale>
        <cfvo type="min"/>
        <cfvo type="percentile" val="90"/>
        <color rgb="FFFF7128"/>
        <color rgb="FFFFEF9C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O6"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BF6C8-FF21-4A8B-A24E-BE0C4A1F05C0}">
  <dimension ref="A1:C15"/>
  <sheetViews>
    <sheetView tabSelected="1" workbookViewId="0">
      <selection activeCell="A17" sqref="A17:XFD26"/>
    </sheetView>
  </sheetViews>
  <sheetFormatPr defaultRowHeight="15" x14ac:dyDescent="0.25"/>
  <cols>
    <col min="1" max="1" width="25.85546875" bestFit="1" customWidth="1"/>
    <col min="2" max="2" width="10.5703125" style="15" bestFit="1" customWidth="1"/>
    <col min="3" max="3" width="11.5703125" style="15" bestFit="1" customWidth="1"/>
  </cols>
  <sheetData>
    <row r="1" spans="1:3" x14ac:dyDescent="0.25">
      <c r="B1" s="15" t="s">
        <v>8383</v>
      </c>
      <c r="C1" s="15" t="s">
        <v>8384</v>
      </c>
    </row>
    <row r="2" spans="1:3" x14ac:dyDescent="0.25">
      <c r="A2" t="s">
        <v>8380</v>
      </c>
      <c r="B2" s="15" t="e">
        <f>AVERAGE(#REF!)</f>
        <v>#REF!</v>
      </c>
      <c r="C2" s="15" t="e">
        <f>AVERAGE(#REF!)</f>
        <v>#REF!</v>
      </c>
    </row>
    <row r="3" spans="1:3" x14ac:dyDescent="0.25">
      <c r="A3" t="s">
        <v>8382</v>
      </c>
      <c r="B3" s="15" t="e">
        <f>MEDIAN(#REF!)</f>
        <v>#REF!</v>
      </c>
      <c r="C3" s="15" t="e">
        <f>MEDIAN(#REF!)</f>
        <v>#REF!</v>
      </c>
    </row>
    <row r="4" spans="1:3" x14ac:dyDescent="0.25">
      <c r="A4" t="s">
        <v>8388</v>
      </c>
      <c r="B4" s="15" t="e">
        <f>_xlfn.STDEV.P(#REF!)</f>
        <v>#REF!</v>
      </c>
      <c r="C4" s="15" t="e">
        <f>+_xlfn.STDEV.P(#REF!)</f>
        <v>#REF!</v>
      </c>
    </row>
    <row r="5" spans="1:3" x14ac:dyDescent="0.25">
      <c r="A5" t="s">
        <v>8386</v>
      </c>
      <c r="B5" s="15" t="e">
        <f>_xlfn.QUARTILE.EXC(#REF!, 3)</f>
        <v>#REF!</v>
      </c>
      <c r="C5" s="15" t="e">
        <f>+_xlfn.QUARTILE.EXC(#REF!,3)</f>
        <v>#REF!</v>
      </c>
    </row>
    <row r="6" spans="1:3" x14ac:dyDescent="0.25">
      <c r="A6" t="s">
        <v>8392</v>
      </c>
      <c r="B6" s="15" t="e">
        <f>_xlfn.QUARTILE.EXC(#REF!, 1 )</f>
        <v>#REF!</v>
      </c>
      <c r="C6" s="15" t="e">
        <f>+_xlfn.QUARTILE.EXC(#REF!,1)</f>
        <v>#REF!</v>
      </c>
    </row>
    <row r="7" spans="1:3" x14ac:dyDescent="0.25">
      <c r="A7" t="s">
        <v>8387</v>
      </c>
      <c r="B7" s="15" t="e">
        <f>+B5-B6</f>
        <v>#REF!</v>
      </c>
      <c r="C7" s="15" t="e">
        <f>+C5-C6</f>
        <v>#REF!</v>
      </c>
    </row>
    <row r="10" spans="1:3" x14ac:dyDescent="0.25">
      <c r="A10" t="s">
        <v>8385</v>
      </c>
      <c r="B10" s="15" t="e">
        <f>AVERAGE(#REF!)</f>
        <v>#REF!</v>
      </c>
      <c r="C10" s="15" t="e">
        <f>AVERAGE(#REF!)</f>
        <v>#REF!</v>
      </c>
    </row>
    <row r="11" spans="1:3" x14ac:dyDescent="0.25">
      <c r="A11" t="s">
        <v>8381</v>
      </c>
      <c r="B11" s="15" t="e">
        <f>MEDIAN(#REF!)</f>
        <v>#REF!</v>
      </c>
      <c r="C11" s="15" t="e">
        <f>MEDIAN(#REF!)</f>
        <v>#REF!</v>
      </c>
    </row>
    <row r="12" spans="1:3" x14ac:dyDescent="0.25">
      <c r="A12" t="s">
        <v>8389</v>
      </c>
      <c r="B12" s="15" t="e">
        <f>_xlfn.STDEV.P(#REF!)</f>
        <v>#REF!</v>
      </c>
      <c r="C12" s="15" t="e">
        <f>+_xlfn.STDEV.P(#REF!)</f>
        <v>#REF!</v>
      </c>
    </row>
    <row r="13" spans="1:3" x14ac:dyDescent="0.25">
      <c r="A13" t="s">
        <v>8390</v>
      </c>
      <c r="B13" s="15" t="e">
        <f>_xlfn.QUARTILE.EXC(#REF!, 3)</f>
        <v>#REF!</v>
      </c>
      <c r="C13" s="15" t="e">
        <f>+_xlfn.QUARTILE.EXC(#REF!,3)</f>
        <v>#REF!</v>
      </c>
    </row>
    <row r="14" spans="1:3" x14ac:dyDescent="0.25">
      <c r="A14" t="s">
        <v>8393</v>
      </c>
      <c r="B14" s="15" t="e">
        <f>_xlfn.QUARTILE.EXC(#REF!, 1 )</f>
        <v>#REF!</v>
      </c>
      <c r="C14" s="15" t="e">
        <f>+_xlfn.QUARTILE.EXC(#REF!,1)</f>
        <v>#REF!</v>
      </c>
    </row>
    <row r="15" spans="1:3" x14ac:dyDescent="0.25">
      <c r="A15" t="s">
        <v>8391</v>
      </c>
      <c r="B15" s="15" t="e">
        <f>+B13-B14</f>
        <v>#REF!</v>
      </c>
      <c r="C15" s="15" t="e">
        <f>+C13-C14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FF77C-E0E6-4C33-B196-0FEB375BF5D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3841F-FCE2-45A5-B0A4-26D305C9DD56}">
  <dimension ref="A1:S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3.85546875" bestFit="1" customWidth="1"/>
  </cols>
  <sheetData>
    <row r="1" spans="1:19" x14ac:dyDescent="0.25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8307</v>
      </c>
      <c r="F1" s="1" t="s">
        <v>8261</v>
      </c>
      <c r="G1" s="1" t="s">
        <v>8244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8305</v>
      </c>
      <c r="N1" s="1" t="s">
        <v>8306</v>
      </c>
      <c r="O1" s="1" t="s">
        <v>8307</v>
      </c>
      <c r="P1" s="9" t="s">
        <v>8358</v>
      </c>
      <c r="Q1" s="1" t="s">
        <v>8359</v>
      </c>
      <c r="R1" s="1" t="s">
        <v>8365</v>
      </c>
      <c r="S1" s="1" t="s">
        <v>8366</v>
      </c>
    </row>
    <row r="2" spans="1:19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19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19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19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19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conditionalFormatting sqref="N1:O1 Q1:S1">
    <cfRule type="colorScale" priority="6">
      <colorScale>
        <cfvo type="min"/>
        <cfvo type="percentile" val="90"/>
        <color rgb="FFFF0000"/>
        <color theme="4" tint="-0.249977111117893"/>
      </colorScale>
    </cfRule>
    <cfRule type="colorScale" priority="7">
      <colorScale>
        <cfvo type="min"/>
        <cfvo type="percent" val="90"/>
        <color rgb="FFFF0000"/>
        <color theme="4" tint="-0.499984740745262"/>
      </colorScale>
    </cfRule>
    <cfRule type="colorScale" priority="8">
      <colorScale>
        <cfvo type="min"/>
        <cfvo type="percent" val="100"/>
        <color rgb="FFFF0000"/>
        <color theme="4" tint="-0.249977111117893"/>
      </colorScale>
    </cfRule>
    <cfRule type="colorScale" priority="9">
      <colorScale>
        <cfvo type="min"/>
        <cfvo type="percentile" val="90"/>
        <color rgb="FFFF7128"/>
        <color rgb="FFFFEF9C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conditionalFormatting sqref="E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percent" val="90"/>
        <color rgb="FFFF0000"/>
        <color theme="4" tint="-0.499984740745262"/>
      </colorScale>
    </cfRule>
    <cfRule type="colorScale" priority="3">
      <colorScale>
        <cfvo type="min"/>
        <cfvo type="percent" val="100"/>
        <color rgb="FFFF0000"/>
        <color theme="4" tint="-0.249977111117893"/>
      </colorScale>
    </cfRule>
    <cfRule type="colorScale" priority="4">
      <colorScale>
        <cfvo type="min"/>
        <cfvo type="percentile" val="90"/>
        <color rgb="FFFF7128"/>
        <color rgb="FFFFEF9C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Outcomes Based on Goal</vt:lpstr>
      <vt:lpstr>Theater Outcomes by Launch Date</vt:lpstr>
      <vt:lpstr>Kickstarter</vt:lpstr>
      <vt:lpstr>Descriptive Statistics</vt:lpstr>
      <vt:lpstr>Sheet2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mouha</cp:lastModifiedBy>
  <dcterms:created xsi:type="dcterms:W3CDTF">2017-04-20T15:17:24Z</dcterms:created>
  <dcterms:modified xsi:type="dcterms:W3CDTF">2021-08-24T17:56:47Z</dcterms:modified>
</cp:coreProperties>
</file>