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test/inputs/"/>
    </mc:Choice>
  </mc:AlternateContent>
  <xr:revisionPtr revIDLastSave="0" documentId="13_ncr:1_{7601FA65-D962-4C4C-8CA1-FCC2812CFD73}" xr6:coauthVersionLast="47" xr6:coauthVersionMax="47" xr10:uidLastSave="{00000000-0000-0000-0000-000000000000}"/>
  <bookViews>
    <workbookView xWindow="38420" yWindow="8820" windowWidth="32480" windowHeight="12580" activeTab="2" xr2:uid="{00000000-000D-0000-FFFF-FFFF00000000}"/>
  </bookViews>
  <sheets>
    <sheet name="Read me " sheetId="5" r:id="rId1"/>
    <sheet name="ITR input data" sheetId="2" r:id="rId2"/>
    <sheet name="ITR target input data" sheetId="8" r:id="rId3"/>
    <sheet name="Definitions" sheetId="6" r:id="rId4"/>
    <sheet name="Portfolio"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1" i="2" l="1"/>
  <c r="AJ31" i="2"/>
  <c r="AI31" i="2"/>
  <c r="AH31" i="2"/>
  <c r="AG31" i="2"/>
  <c r="AF31" i="2"/>
  <c r="AE31" i="2"/>
  <c r="AK17" i="2"/>
  <c r="AJ17" i="2"/>
  <c r="AI17" i="2"/>
  <c r="AH17" i="2"/>
  <c r="AG17" i="2"/>
  <c r="AF17" i="2"/>
  <c r="AE17" i="2"/>
  <c r="AK16" i="2"/>
  <c r="AJ16" i="2"/>
  <c r="AI16" i="2"/>
  <c r="AH16" i="2"/>
  <c r="AG16" i="2"/>
  <c r="AF16" i="2"/>
  <c r="AE16" i="2"/>
  <c r="AK14" i="2"/>
  <c r="AJ14" i="2"/>
  <c r="AI14" i="2"/>
  <c r="AH14" i="2"/>
  <c r="AG14" i="2"/>
  <c r="AF14" i="2"/>
  <c r="AE14" i="2"/>
  <c r="AK13" i="2"/>
  <c r="AJ13" i="2"/>
  <c r="AI13" i="2"/>
  <c r="AH13" i="2"/>
  <c r="AG13" i="2"/>
  <c r="AF13" i="2"/>
  <c r="AE13" i="2"/>
  <c r="I43" i="8"/>
  <c r="I42" i="8"/>
  <c r="J23" i="2"/>
  <c r="J22" i="2"/>
  <c r="AT2" i="2"/>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AG22" i="2" s="1"/>
  <c r="Y22" i="2"/>
  <c r="AF22" i="2" s="1"/>
  <c r="X22" i="2"/>
  <c r="AE22" i="2" s="1"/>
  <c r="AS22" i="2"/>
  <c r="AT22" i="2"/>
  <c r="AU22" i="2"/>
  <c r="AK22" i="2"/>
  <c r="AJ22" i="2"/>
  <c r="AI22" i="2"/>
  <c r="AH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7"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2"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List>
</comments>
</file>

<file path=xl/sharedStrings.xml><?xml version="1.0" encoding="utf-8"?>
<sst xmlns="http://schemas.openxmlformats.org/spreadsheetml/2006/main" count="1316" uniqueCount="292">
  <si>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</si>
  <si>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</si>
  <si>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</si>
  <si>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</si>
  <si>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</si>
  <si>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</si>
  <si>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</si>
  <si>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</si>
  <si>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</si>
  <si>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</si>
  <si>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</si>
  <si>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</si>
  <si>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</si>
  <si>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</si>
  <si>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</si>
  <si>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</si>
  <si>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</si>
  <si>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</si>
  <si>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</si>
  <si>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</si>
  <si>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</si>
  <si>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</si>
  <si>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</si>
  <si>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</si>
  <si>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</si>
  <si>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</si>
  <si>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</si>
  <si>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</si>
  <si>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</si>
  <si>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</si>
  <si>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</si>
  <si>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</si>
  <si>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</si>
  <si>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</si>
  <si>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</si>
  <si>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</si>
  <si>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</si>
  <si>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</si>
  <si>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</si>
  <si>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</si>
  <si>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</si>
  <si>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</si>
  <si>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</si>
  <si>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</si>
  <si>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</si>
  <si>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</si>
  <si>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</si>
  <si>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</si>
  <si>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</si>
  <si>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</si>
  <si>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</si>
  <si>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</si>
  <si>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</si>
  <si>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</si>
  <si>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</si>
  <si>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</si>
  <si>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</si>
  <si>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</si>
  <si>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</si>
  <si>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</si>
  <si>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</si>
  <si>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</si>
  <si>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</si>
  <si>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</si>
  <si>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</si>
  <si>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</si>
  <si>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</si>
  <si>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</si>
  <si>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</si>
  <si>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</si>
  <si>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</si>
  <si>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</si>
  <si>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</si>
  <si>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</si>
  <si>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</si>
  <si>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</si>
  <si>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</si>
  <si>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</si>
  <si>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</si>
  <si>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</si>
  <si>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</si>
  <si>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</si>
  <si>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</si>
  <si>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</si>
  <si>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</si>
  <si>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</si>
  <si>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</si>
  <si>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</si>
  <si>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</si>
  <si>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</si>
  <si>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</si>
  <si>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</si>
  <si>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</si>
  <si>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</si>
  <si>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</si>
  <si>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</si>
  <si>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</si>
  <si>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</si>
  <si>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</si>
  <si>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</si>
  <si>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</si>
  <si>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</si>
  <si>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</si>
  <si>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</si>
  <si>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</si>
  <si>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</si>
  <si>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</si>
  <si>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</si>
  <si>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</si>
  <si>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</si>
  <si>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</si>
  <si>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</si>
  <si>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</si>
  <si>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</si>
  <si>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</si>
  <si>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</si>
  <si>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</si>
  <si>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</si>
  <si>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</si>
  <si>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</si>
  <si>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</si>
  <si>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</si>
  <si>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</si>
  <si>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</si>
  <si>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</si>
  <si>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</si>
  <si>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</si>
  <si>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</si>
  <si>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</si>
  <si>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</si>
  <si>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</si>
  <si>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</si>
  <si>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</si>
  <si>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</si>
  <si>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</si>
  <si>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</si>
  <si>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</si>
  <si>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</si>
  <si>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</si>
  <si>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</si>
  <si>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</si>
  <si>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</si>
  <si>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</si>
  <si>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</si>
  <si>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</si>
  <si>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</si>
  <si>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</si>
  <si>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549300T12EZ1F6PWWU29</t>
  </si>
  <si>
    <t>CA</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</si>
  <si>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</si>
  <si>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</si>
  <si>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</si>
  <si>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</si>
  <si>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</si>
  <si>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</si>
  <si>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</si>
  <si>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</si>
  <si>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</si>
  <si>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</si>
  <si>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</si>
  <si>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</si>
  <si>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</si>
  <si>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</si>
  <si>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</si>
  <si>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</si>
  <si>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</si>
  <si>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</si>
  <si>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</si>
  <si>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</si>
  <si>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</si>
  <si>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</si>
  <si>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</si>
  <si>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</si>
  <si>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</si>
  <si>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</si>
  <si>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</si>
  <si>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</si>
  <si>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</si>
  <si>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</si>
  <si>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</si>
  <si>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</si>
  <si>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</si>
  <si>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</si>
  <si>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</si>
  <si>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</si>
  <si>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</si>
  <si>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</si>
  <si>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</si>
  <si>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</si>
  <si>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</si>
  <si>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</si>
  <si>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</si>
  <si>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</si>
  <si>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</si>
  <si>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</si>
  <si>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</si>
  <si>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</si>
  <si>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</si>
  <si>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</si>
  <si>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</si>
  <si>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</si>
  <si>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</si>
  <si>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</si>
  <si>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</si>
  <si>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</si>
  <si>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</si>
  <si>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</si>
  <si>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</si>
  <si>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</si>
  <si>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</si>
  <si>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</si>
  <si>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</si>
  <si>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</si>
  <si>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</si>
  <si>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</si>
  <si>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</si>
  <si>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</si>
  <si>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</si>
  <si>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</si>
  <si>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</si>
  <si>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</si>
  <si>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</si>
  <si>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</si>
  <si>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</si>
  <si>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</si>
  <si>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</si>
  <si>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</si>
  <si>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</si>
  <si>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</si>
  <si>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</si>
  <si>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</si>
  <si>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</si>
  <si>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</si>
  <si>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</si>
  <si>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</si>
  <si>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</si>
  <si>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</si>
  <si>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</si>
  <si>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</si>
  <si>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</si>
  <si>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</si>
  <si>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</si>
  <si>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</si>
  <si>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</si>
  <si>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</si>
  <si>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</si>
  <si>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</si>
  <si>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</si>
  <si>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</si>
  <si>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</si>
  <si>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</si>
  <si>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</si>
  <si>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</si>
  <si>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</si>
  <si>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</si>
  <si>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</si>
  <si>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</si>
  <si>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</si>
  <si>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</si>
  <si>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</si>
  <si>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</si>
  <si>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</si>
  <si>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</si>
  <si>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</si>
  <si>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</si>
  <si>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</si>
  <si>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</si>
  <si>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</si>
  <si>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</si>
  <si>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</si>
  <si>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</si>
  <si>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</si>
  <si>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</si>
  <si>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</si>
  <si>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</si>
  <si>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</si>
  <si>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Xcel Energy, Inc.</t>
  </si>
  <si>
    <t>LGJNMI9GH8XIDG5RCM61</t>
  </si>
  <si>
    <t>US98389B1008</t>
  </si>
  <si>
    <t>S1</t>
  </si>
  <si>
    <t>absolute</t>
  </si>
  <si>
    <t>S1+S2</t>
  </si>
  <si>
    <t>GWh</t>
  </si>
  <si>
    <t>S1+S2+S3</t>
  </si>
  <si>
    <t>t CO2/Fe_ton</t>
  </si>
  <si>
    <t>t CO2/MWh</t>
  </si>
  <si>
    <t>TWh</t>
  </si>
  <si>
    <t>megaFe_ton</t>
  </si>
  <si>
    <t>company_isin</t>
  </si>
  <si>
    <t>netzero_year</t>
  </si>
  <si>
    <t>kt CO2e</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</si>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</sst>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32">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0"/>
      <color rgb="FF000000"/>
      <name val="Calibri"/>
      <family val="2"/>
    </font>
    <font>
      <sz val="10"/>
      <color indexed="8"/>
      <name val="ArialMT"/>
    </font>
    <font>
      <sz val="11"/>
      <name val="Calibri"/>
      <family val="2"/>
      <charset val="1"/>
    </font>
    <font>
      <sz val="11"/>
      <color rgb="FFFF0000"/>
      <name val="Calibri"/>
      <family val="2"/>
      <charset val="1"/>
    </font>
    <font>
      <i/>
      <sz val="11"/>
      <color rgb="FF000000"/>
      <name val="Calibri"/>
      <family val="2"/>
      <charset val="1"/>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6">
    <xf numFmtId="0" fontId="0" fillId="0" borderId="0" xfId="0"/>
    <xf numFmtId="0" fontId="0" fillId="0" borderId="0" xfId="0" applyAlignment="1">
      <alignment wrapText="1"/>
    </xf>
    <xf numFmtId="0" fontId="2" fillId="0" borderId="0" xfId="0" applyFont="1"/>
    <xf numFmtId="0" fontId="4" fillId="0" borderId="0" xfId="0" applyFont="1"/>
    <xf numFmtId="164" fontId="0" fillId="0" borderId="0" xfId="0" applyNumberFormat="1"/>
    <xf numFmtId="0" fontId="0" fillId="0" borderId="0" xfId="0" applyAlignment="1">
      <alignment vertical="center" wrapText="1"/>
    </xf>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Alignment="1">
      <alignment vertical="center" wrapText="1"/>
    </xf>
    <xf numFmtId="0" fontId="13" fillId="0" borderId="0" xfId="0" applyFont="1"/>
    <xf numFmtId="0" fontId="0" fillId="6" borderId="0" xfId="0" applyFill="1" applyAlignment="1">
      <alignment vertical="center"/>
    </xf>
    <xf numFmtId="0" fontId="2" fillId="0" borderId="0" xfId="0" applyFont="1" applyAlignment="1">
      <alignment horizontal="left" vertical="center" wrapText="1"/>
    </xf>
    <xf numFmtId="0" fontId="0" fillId="0" borderId="0" xfId="0" applyAlignment="1">
      <alignment vertical="center"/>
    </xf>
    <xf numFmtId="0" fontId="12" fillId="8" borderId="0" xfId="0" applyFont="1" applyFill="1" applyAlignment="1">
      <alignment wrapText="1"/>
    </xf>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12" fillId="0" borderId="0" xfId="0" applyFont="1" applyAlignment="1">
      <alignment horizontal="left" vertical="center" wrapText="1"/>
    </xf>
    <xf numFmtId="164" fontId="2" fillId="0" borderId="0" xfId="0" applyNumberFormat="1" applyFont="1" applyAlignment="1">
      <alignment horizontal="left" vertical="center" wrapText="1"/>
    </xf>
    <xf numFmtId="0" fontId="0" fillId="4" borderId="0" xfId="0" applyFill="1" applyAlignment="1">
      <alignment vertical="center"/>
    </xf>
    <xf numFmtId="0" fontId="8" fillId="9" borderId="0" xfId="0" applyFont="1" applyFill="1" applyAlignment="1">
      <alignment vertical="center"/>
    </xf>
    <xf numFmtId="0" fontId="0" fillId="10" borderId="0" xfId="0" applyFill="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Alignment="1">
      <alignment vertical="center" wrapText="1"/>
    </xf>
    <xf numFmtId="0" fontId="12" fillId="7" borderId="0" xfId="0" applyFont="1" applyFill="1"/>
    <xf numFmtId="0" fontId="11" fillId="0" borderId="0" xfId="0" applyFont="1"/>
    <xf numFmtId="0" fontId="11" fillId="0" borderId="0" xfId="0" applyFont="1" applyAlignment="1">
      <alignment wrapText="1"/>
    </xf>
    <xf numFmtId="0" fontId="14" fillId="0" borderId="0" xfId="0" applyFont="1"/>
    <xf numFmtId="0" fontId="13" fillId="0" borderId="0" xfId="0" applyFont="1" applyAlignment="1">
      <alignment wrapText="1"/>
    </xf>
    <xf numFmtId="0" fontId="15" fillId="4" borderId="0" xfId="0" applyFont="1" applyFill="1"/>
    <xf numFmtId="9" fontId="11" fillId="0" borderId="0" xfId="0" applyNumberFormat="1" applyFont="1"/>
    <xf numFmtId="0" fontId="10" fillId="0" borderId="0" xfId="0" applyFont="1" applyAlignment="1">
      <alignment vertical="center" wrapText="1"/>
    </xf>
    <xf numFmtId="0" fontId="2" fillId="10" borderId="0" xfId="0" applyFont="1" applyFill="1" applyAlignment="1">
      <alignment vertical="center" wrapText="1"/>
    </xf>
    <xf numFmtId="0" fontId="0" fillId="0" borderId="0" xfId="0" applyAlignment="1">
      <alignment horizontal="left" vertical="center" wrapText="1"/>
    </xf>
    <xf numFmtId="0" fontId="10" fillId="0" borderId="0" xfId="0" applyFont="1"/>
    <xf numFmtId="0" fontId="0" fillId="12" borderId="0" xfId="0" applyFill="1"/>
    <xf numFmtId="0" fontId="16" fillId="0" borderId="0" xfId="0" applyFont="1"/>
    <xf numFmtId="0" fontId="17" fillId="0" borderId="0" xfId="0" applyFont="1"/>
    <xf numFmtId="0" fontId="18" fillId="0" borderId="0" xfId="0" applyFont="1"/>
    <xf numFmtId="0" fontId="19" fillId="0" borderId="0" xfId="0" applyFont="1"/>
    <xf numFmtId="9" fontId="17"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Alignment="1">
      <alignment horizontal="right"/>
    </xf>
    <xf numFmtId="3" fontId="22" fillId="0" borderId="0" xfId="0" applyNumberFormat="1" applyFont="1"/>
    <xf numFmtId="3" fontId="24" fillId="0" borderId="0" xfId="0" applyNumberFormat="1" applyFont="1"/>
    <xf numFmtId="3" fontId="25" fillId="0" borderId="0" xfId="0" applyNumberFormat="1" applyFont="1" applyAlignment="1">
      <alignment horizontal="right" vertical="top"/>
    </xf>
    <xf numFmtId="3" fontId="23"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0" fontId="9" fillId="14" borderId="0" xfId="0" applyFont="1" applyFill="1"/>
    <xf numFmtId="0" fontId="3" fillId="12" borderId="0" xfId="0" applyFont="1" applyFill="1"/>
    <xf numFmtId="3" fontId="28" fillId="0" borderId="0" xfId="0" applyNumberFormat="1" applyFont="1"/>
    <xf numFmtId="165" fontId="0" fillId="0" borderId="0" xfId="0" applyNumberFormat="1"/>
    <xf numFmtId="0" fontId="29" fillId="0" borderId="0" xfId="0" applyFont="1"/>
    <xf numFmtId="0" fontId="30" fillId="0" borderId="0" xfId="0" applyFont="1"/>
    <xf numFmtId="0" fontId="3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A1"/>
  <sheetViews>
    <sheetView zoomScaleNormal="100" workbookViewId="0"/>
  </sheetViews>
  <sheetFormatPr baseColWidth="10" defaultColWidth="8.83203125" defaultRowHeight="15"/>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2"/>
  <sheetViews>
    <sheetView zoomScaleNormal="100" workbookViewId="0">
      <pane xSplit="1" ySplit="1" topLeftCell="E2" activePane="bottomRight" state="frozen"/>
      <selection pane="topRight" activeCell="B1" sqref="B1"/>
      <selection pane="bottomLeft" activeCell="A2" sqref="A2"/>
      <selection pane="bottomRight" activeCell="AV2" sqref="AV2"/>
    </sheetView>
  </sheetViews>
  <sheetFormatPr baseColWidth="10" defaultColWidth="16.5" defaultRowHeight="15"/>
  <cols>
    <col min="2" max="2" width="25.5" style="3" customWidth="1"/>
    <col min="5" max="5" width="16.5" style="19"/>
    <col min="7" max="7" width="16.5" style="3"/>
    <col min="9" max="9" width="16.5" style="4"/>
    <col min="14" max="15" width="25.83203125" customWidth="1"/>
    <col min="16" max="16" width="22.1640625" customWidth="1"/>
    <col min="17" max="22" width="16.5" customWidth="1"/>
    <col min="23" max="23" width="16.5" style="24" customWidth="1"/>
    <col min="24" max="29" width="16.5" customWidth="1"/>
    <col min="30" max="30" width="16.5" style="24" customWidth="1"/>
    <col min="31" max="37" width="16.5" customWidth="1"/>
    <col min="45" max="49" width="16.83203125" customWidth="1"/>
  </cols>
  <sheetData>
    <row r="1" spans="1:52" s="2" customFormat="1" ht="16">
      <c r="A1" s="6" t="s">
        <v>56</v>
      </c>
      <c r="B1" s="6" t="s">
        <v>57</v>
      </c>
      <c r="C1" s="6" t="s">
        <v>1</v>
      </c>
      <c r="D1" s="6" t="s">
        <v>6</v>
      </c>
      <c r="E1" s="20" t="s">
        <v>7</v>
      </c>
      <c r="F1" s="6" t="s">
        <v>27</v>
      </c>
      <c r="G1" s="20" t="s">
        <v>31</v>
      </c>
      <c r="H1" s="6" t="s">
        <v>63</v>
      </c>
      <c r="I1" s="7" t="s">
        <v>42</v>
      </c>
      <c r="J1" s="6" t="s">
        <v>39</v>
      </c>
      <c r="K1" s="6" t="s">
        <v>38</v>
      </c>
      <c r="L1" s="6" t="s">
        <v>40</v>
      </c>
      <c r="M1" s="6" t="s">
        <v>29</v>
      </c>
      <c r="N1" s="6" t="s">
        <v>41</v>
      </c>
      <c r="O1" s="50" t="s">
        <v>137</v>
      </c>
      <c r="P1" s="50" t="s">
        <v>127</v>
      </c>
      <c r="Q1" s="11" t="s">
        <v>16</v>
      </c>
      <c r="R1" s="11" t="s">
        <v>17</v>
      </c>
      <c r="S1" s="11" t="s">
        <v>18</v>
      </c>
      <c r="T1" s="11" t="s">
        <v>19</v>
      </c>
      <c r="U1" s="11" t="s">
        <v>20</v>
      </c>
      <c r="V1" s="11" t="s">
        <v>44</v>
      </c>
      <c r="W1" s="29" t="s">
        <v>51</v>
      </c>
      <c r="X1" s="18" t="s">
        <v>21</v>
      </c>
      <c r="Y1" s="18" t="s">
        <v>22</v>
      </c>
      <c r="Z1" s="18" t="s">
        <v>23</v>
      </c>
      <c r="AA1" s="18" t="s">
        <v>24</v>
      </c>
      <c r="AB1" s="18" t="s">
        <v>25</v>
      </c>
      <c r="AC1" s="18" t="s">
        <v>30</v>
      </c>
      <c r="AD1" s="28" t="s">
        <v>52</v>
      </c>
      <c r="AE1" s="17" t="s">
        <v>45</v>
      </c>
      <c r="AF1" s="10" t="s">
        <v>46</v>
      </c>
      <c r="AG1" s="10" t="s">
        <v>47</v>
      </c>
      <c r="AH1" s="10" t="s">
        <v>48</v>
      </c>
      <c r="AI1" s="10" t="s">
        <v>49</v>
      </c>
      <c r="AJ1" s="10" t="s">
        <v>50</v>
      </c>
      <c r="AK1" s="42" t="s">
        <v>53</v>
      </c>
      <c r="AL1" s="11" t="s">
        <v>67</v>
      </c>
      <c r="AM1" s="11" t="s">
        <v>68</v>
      </c>
      <c r="AN1" s="11" t="s">
        <v>69</v>
      </c>
      <c r="AO1" s="11" t="s">
        <v>70</v>
      </c>
      <c r="AP1" s="11" t="s">
        <v>71</v>
      </c>
      <c r="AQ1" s="11" t="s">
        <v>72</v>
      </c>
      <c r="AR1" s="29" t="s">
        <v>73</v>
      </c>
      <c r="AS1" s="9" t="s">
        <v>32</v>
      </c>
      <c r="AT1" s="9" t="s">
        <v>33</v>
      </c>
      <c r="AU1" s="9" t="s">
        <v>34</v>
      </c>
      <c r="AV1" s="9" t="s">
        <v>35</v>
      </c>
      <c r="AW1" s="9" t="s">
        <v>36</v>
      </c>
      <c r="AX1" s="9" t="s">
        <v>37</v>
      </c>
      <c r="AY1" s="9" t="s">
        <v>54</v>
      </c>
    </row>
    <row r="2" spans="1:52">
      <c r="A2" t="s">
        <v>58</v>
      </c>
      <c r="B2" s="3" t="s">
        <v>59</v>
      </c>
      <c r="C2" t="s">
        <v>60</v>
      </c>
      <c r="D2" t="s">
        <v>61</v>
      </c>
      <c r="E2"/>
      <c r="F2" t="s">
        <v>141</v>
      </c>
      <c r="G2" s="3" t="s">
        <v>64</v>
      </c>
      <c r="H2" t="s">
        <v>65</v>
      </c>
      <c r="I2" s="4">
        <v>44196</v>
      </c>
      <c r="J2">
        <v>9420000000</v>
      </c>
      <c r="K2">
        <v>10189000000</v>
      </c>
      <c r="L2">
        <v>8652000000</v>
      </c>
      <c r="M2">
        <v>9681000000</v>
      </c>
      <c r="N2">
        <v>33648000000</v>
      </c>
      <c r="O2" t="s">
        <v>142</v>
      </c>
      <c r="P2" t="s">
        <v>282</v>
      </c>
      <c r="Q2" s="43">
        <v>70457000</v>
      </c>
      <c r="R2" s="43">
        <v>59804000</v>
      </c>
      <c r="S2" s="43">
        <v>50291000</v>
      </c>
      <c r="T2" s="43">
        <v>45611000</v>
      </c>
      <c r="U2" s="43">
        <v>42961000</v>
      </c>
      <c r="V2" s="43"/>
      <c r="W2" s="43"/>
      <c r="X2" s="43">
        <v>306000</v>
      </c>
      <c r="Y2" s="43">
        <v>220000</v>
      </c>
      <c r="Z2" s="43">
        <v>314000</v>
      </c>
      <c r="AA2" s="43">
        <v>324000</v>
      </c>
      <c r="AB2" s="43">
        <v>254000</v>
      </c>
      <c r="AC2" s="43"/>
      <c r="AD2" s="43"/>
      <c r="AE2" s="53">
        <f>IF(OR(ISBLANK(Q2), ISBLANK(X2)),"",Q2+X2)</f>
        <v>70763000</v>
      </c>
      <c r="AF2" s="53">
        <f t="shared" ref="AF2:AI2" si="0">IF(OR(ISBLANK(R2), ISBLANK(Y2)),"",R2+Y2)</f>
        <v>60024000</v>
      </c>
      <c r="AG2" s="53">
        <f t="shared" si="0"/>
        <v>50605000</v>
      </c>
      <c r="AH2" s="53">
        <f t="shared" si="0"/>
        <v>45935000</v>
      </c>
      <c r="AI2" s="53">
        <f t="shared" si="0"/>
        <v>43215000</v>
      </c>
      <c r="AJ2" s="53" t="str">
        <f t="shared" ref="AJ2:AJ4" si="1">IF(ISBLANK(V2),IF(ISBLANK(AC2),"",AC2),V2+AC2)</f>
        <v/>
      </c>
      <c r="AK2" s="53" t="str">
        <f t="shared" ref="AK2:AK4" si="2">IF(ISBLANK(W2),IF(ISBLANK(AD2),"",AD2),W2+AD2)</f>
        <v/>
      </c>
      <c r="AL2" s="43">
        <v>5864000</v>
      </c>
      <c r="AM2" s="43">
        <f>13871000+800</f>
        <v>13871800</v>
      </c>
      <c r="AN2" s="43">
        <f>10070000+1100</f>
        <v>10071100</v>
      </c>
      <c r="AO2" s="43">
        <f>9972000+1200</f>
        <v>9973200</v>
      </c>
      <c r="AP2" s="43">
        <f>7269000+200</f>
        <v>7269200</v>
      </c>
      <c r="AQ2" s="43"/>
      <c r="AR2" s="43"/>
      <c r="AS2">
        <v>104312</v>
      </c>
      <c r="AT2">
        <f>(AS2+AU2)/2</f>
        <v>94148.97</v>
      </c>
      <c r="AU2">
        <v>83985.94</v>
      </c>
      <c r="AV2">
        <v>75043.55</v>
      </c>
      <c r="AW2">
        <v>75271.521999999997</v>
      </c>
      <c r="AX2" s="43"/>
      <c r="AY2" s="43"/>
      <c r="AZ2" s="43"/>
    </row>
    <row r="3" spans="1:52">
      <c r="A3" t="s">
        <v>144</v>
      </c>
      <c r="B3" s="3" t="s">
        <v>145</v>
      </c>
      <c r="C3" t="s">
        <v>146</v>
      </c>
      <c r="D3" t="s">
        <v>61</v>
      </c>
      <c r="E3"/>
      <c r="F3" t="s">
        <v>141</v>
      </c>
      <c r="G3" s="3" t="s">
        <v>64</v>
      </c>
      <c r="H3" t="s">
        <v>65</v>
      </c>
      <c r="I3" s="4">
        <v>44196</v>
      </c>
      <c r="J3">
        <v>2825208722</v>
      </c>
      <c r="K3">
        <v>1240500000</v>
      </c>
      <c r="L3">
        <v>4369708722</v>
      </c>
      <c r="M3">
        <v>4439008722</v>
      </c>
      <c r="N3">
        <v>5482800000</v>
      </c>
      <c r="O3" t="s">
        <v>128</v>
      </c>
      <c r="P3" t="s">
        <v>286</v>
      </c>
      <c r="S3" s="60"/>
      <c r="Z3" s="60"/>
      <c r="AE3" s="53">
        <v>8.0287915250000008</v>
      </c>
      <c r="AF3" s="53">
        <v>6.5660701670000003</v>
      </c>
      <c r="AG3" s="53">
        <v>6.511972042</v>
      </c>
      <c r="AH3" s="53">
        <v>4.3830481260000003</v>
      </c>
      <c r="AI3" s="53">
        <v>4.2416594769999998</v>
      </c>
      <c r="AS3">
        <v>12.04283116</v>
      </c>
      <c r="AT3">
        <v>10.83695122</v>
      </c>
      <c r="AU3">
        <v>10.50623193</v>
      </c>
      <c r="AV3">
        <v>8.4213020440000008</v>
      </c>
      <c r="AW3">
        <v>8.4483908050000007</v>
      </c>
    </row>
    <row r="4" spans="1:52">
      <c r="A4" t="s">
        <v>149</v>
      </c>
      <c r="B4" s="3" t="s">
        <v>150</v>
      </c>
      <c r="C4" t="s">
        <v>151</v>
      </c>
      <c r="D4" t="s">
        <v>61</v>
      </c>
      <c r="E4"/>
      <c r="F4" t="s">
        <v>141</v>
      </c>
      <c r="G4" s="3" t="s">
        <v>64</v>
      </c>
      <c r="H4" t="s">
        <v>65</v>
      </c>
      <c r="I4" s="4">
        <v>44196</v>
      </c>
      <c r="J4">
        <v>11900000000</v>
      </c>
      <c r="K4">
        <v>3648000000</v>
      </c>
      <c r="L4">
        <v>18804000000</v>
      </c>
      <c r="M4">
        <v>18820000000</v>
      </c>
      <c r="N4">
        <v>16701000000</v>
      </c>
      <c r="O4" t="s">
        <v>142</v>
      </c>
      <c r="P4" t="s">
        <v>143</v>
      </c>
      <c r="Q4" s="60">
        <v>14371878</v>
      </c>
      <c r="S4">
        <v>17598424</v>
      </c>
      <c r="T4">
        <v>14280935</v>
      </c>
      <c r="U4">
        <v>12624301</v>
      </c>
      <c r="X4" s="60">
        <v>6190403</v>
      </c>
      <c r="Z4">
        <v>5234</v>
      </c>
      <c r="AA4">
        <v>5236</v>
      </c>
      <c r="AB4">
        <v>4187</v>
      </c>
      <c r="AE4" s="53">
        <f>IF(OR(ISBLANK(Q4), ISBLANK(X4)),"",Q4+X4)</f>
        <v>20562281</v>
      </c>
      <c r="AF4" s="53" t="str">
        <f t="shared" ref="AF4" si="3">IF(ISBLANK(R4),IF(ISBLANK(Y4),"",Y4),R4+Y4)</f>
        <v/>
      </c>
      <c r="AG4" s="53">
        <f t="shared" ref="AG4" si="4">IF(ISBLANK(S4),IF(ISBLANK(Z4),"",Z4),S4+Z4)</f>
        <v>17603658</v>
      </c>
      <c r="AH4" s="53">
        <f t="shared" ref="AH4" si="5">IF(ISBLANK(T4),IF(ISBLANK(AA4),"",AA4),T4+AA4)</f>
        <v>14286171</v>
      </c>
      <c r="AI4" s="53">
        <f t="shared" ref="AI4" si="6">IF(ISBLANK(U4),IF(ISBLANK(AB4),"",AB4),U4+AB4)</f>
        <v>12628488</v>
      </c>
      <c r="AJ4" s="53" t="str">
        <f t="shared" si="1"/>
        <v/>
      </c>
      <c r="AK4" s="53" t="str">
        <f t="shared" si="2"/>
        <v/>
      </c>
      <c r="AS4" s="60">
        <v>30569012</v>
      </c>
      <c r="AU4">
        <f>12112825+9730905+35784+200052+3905+1602768</f>
        <v>23686239</v>
      </c>
      <c r="AV4">
        <f>8643022+11070790+4958+227622+6349+2895846</f>
        <v>22848587</v>
      </c>
      <c r="AW4">
        <f>7020084+10451667+743+242130+10786+4871874</f>
        <v>22597284</v>
      </c>
    </row>
    <row r="5" spans="1:52">
      <c r="A5" t="s">
        <v>152</v>
      </c>
      <c r="B5" s="3" t="s">
        <v>153</v>
      </c>
      <c r="C5" t="s">
        <v>154</v>
      </c>
      <c r="D5" t="s">
        <v>61</v>
      </c>
      <c r="E5"/>
      <c r="F5" t="s">
        <v>141</v>
      </c>
      <c r="G5" s="3" t="s">
        <v>64</v>
      </c>
      <c r="H5" t="s">
        <v>65</v>
      </c>
      <c r="I5" s="4">
        <v>44196</v>
      </c>
      <c r="J5">
        <v>17299078950</v>
      </c>
      <c r="K5">
        <v>5910000000</v>
      </c>
      <c r="L5">
        <v>26198078950</v>
      </c>
      <c r="M5">
        <v>26214078950</v>
      </c>
      <c r="N5">
        <v>28933000000</v>
      </c>
      <c r="O5" t="s">
        <v>128</v>
      </c>
      <c r="P5" t="s">
        <v>286</v>
      </c>
      <c r="Q5" s="60"/>
      <c r="R5" s="60"/>
      <c r="S5" s="60"/>
      <c r="T5" s="60"/>
      <c r="U5" s="60"/>
      <c r="AE5" s="53">
        <v>29.875229310000002</v>
      </c>
      <c r="AF5" s="53">
        <v>31.187124499999999</v>
      </c>
      <c r="AG5" s="53">
        <v>30.672013759999999</v>
      </c>
      <c r="AH5" s="53">
        <v>23.40945202</v>
      </c>
      <c r="AI5" s="53">
        <v>23.242024560000001</v>
      </c>
      <c r="AS5">
        <v>39.509234999999997</v>
      </c>
      <c r="AT5">
        <v>41.953088000000001</v>
      </c>
      <c r="AU5">
        <v>43.757387999999999</v>
      </c>
      <c r="AV5">
        <v>36.419050990000002</v>
      </c>
      <c r="AW5">
        <v>36.692055809999999</v>
      </c>
    </row>
    <row r="6" spans="1:52">
      <c r="A6" t="s">
        <v>155</v>
      </c>
      <c r="B6" s="3" t="s">
        <v>156</v>
      </c>
      <c r="C6" t="s">
        <v>157</v>
      </c>
      <c r="D6" t="s">
        <v>61</v>
      </c>
      <c r="E6"/>
      <c r="F6" t="s">
        <v>141</v>
      </c>
      <c r="G6" s="3" t="s">
        <v>64</v>
      </c>
      <c r="H6" t="s">
        <v>65</v>
      </c>
      <c r="I6" s="4">
        <v>44196</v>
      </c>
      <c r="J6">
        <v>39549558010</v>
      </c>
      <c r="K6">
        <v>15561400000</v>
      </c>
      <c r="L6">
        <v>69474758010</v>
      </c>
      <c r="M6">
        <v>69721558010</v>
      </c>
      <c r="N6">
        <v>75892300000</v>
      </c>
      <c r="O6" t="s">
        <v>142</v>
      </c>
      <c r="P6" t="s">
        <v>143</v>
      </c>
      <c r="Q6" s="60">
        <v>90989994</v>
      </c>
      <c r="R6" s="60">
        <v>72813962</v>
      </c>
      <c r="S6" s="60">
        <v>69614180</v>
      </c>
      <c r="T6" s="60">
        <v>59439006</v>
      </c>
      <c r="U6" s="60">
        <v>44902836</v>
      </c>
      <c r="X6" s="60">
        <v>3006186</v>
      </c>
      <c r="Y6" s="60">
        <v>251231</v>
      </c>
      <c r="Z6">
        <v>0</v>
      </c>
      <c r="AA6" s="60">
        <v>8608544</v>
      </c>
      <c r="AB6" s="60">
        <v>6440084</v>
      </c>
      <c r="AE6" s="53">
        <f>IF(OR(ISBLANK(Q6), ISBLANK(X6)),"",Q6+X6)</f>
        <v>93996180</v>
      </c>
      <c r="AF6" s="53">
        <f t="shared" ref="AF6:AF8" si="7">IF(ISBLANK(R6),IF(ISBLANK(Y6),"",Y6),R6+Y6)</f>
        <v>73065193</v>
      </c>
      <c r="AG6" s="53">
        <f t="shared" ref="AG6:AG8" si="8">IF(ISBLANK(S6),IF(ISBLANK(Z6),"",Z6),S6+Z6)</f>
        <v>69614180</v>
      </c>
      <c r="AH6" s="53">
        <f t="shared" ref="AH6:AH8" si="9">IF(ISBLANK(T6),IF(ISBLANK(AA6),"",AA6),T6+AA6)</f>
        <v>68047550</v>
      </c>
      <c r="AI6" s="53">
        <f t="shared" ref="AI6:AI8" si="10">IF(ISBLANK(U6),IF(ISBLANK(AB6),"",AB6),U6+AB6)</f>
        <v>51342920</v>
      </c>
      <c r="AJ6" s="53" t="str">
        <f t="shared" ref="AJ6:AJ8" si="11">IF(ISBLANK(V6),IF(ISBLANK(AC6),"",AC6),V6+AC6)</f>
        <v/>
      </c>
      <c r="AK6" s="53" t="str">
        <f t="shared" ref="AK6:AK8" si="12">IF(ISBLANK(W6),IF(ISBLANK(AD6),"",AD6),W6+AD6)</f>
        <v/>
      </c>
      <c r="AS6" s="60">
        <v>137346204</v>
      </c>
      <c r="AT6" s="60">
        <v>108631253</v>
      </c>
      <c r="AU6" s="60">
        <v>104375491</v>
      </c>
      <c r="AV6" s="60">
        <v>106382813</v>
      </c>
      <c r="AW6" s="60">
        <v>94529102</v>
      </c>
    </row>
    <row r="7" spans="1:52">
      <c r="A7" t="s">
        <v>158</v>
      </c>
      <c r="B7" s="3" t="s">
        <v>159</v>
      </c>
      <c r="C7" t="s">
        <v>160</v>
      </c>
      <c r="D7" t="s">
        <v>61</v>
      </c>
      <c r="E7"/>
      <c r="F7" t="s">
        <v>141</v>
      </c>
      <c r="G7" s="3" t="s">
        <v>64</v>
      </c>
      <c r="H7" t="s">
        <v>65</v>
      </c>
      <c r="I7" s="4">
        <v>44196</v>
      </c>
      <c r="J7">
        <v>2374000000</v>
      </c>
      <c r="K7">
        <v>6336000000</v>
      </c>
      <c r="L7">
        <v>10364000000</v>
      </c>
      <c r="M7">
        <v>10542000000</v>
      </c>
      <c r="N7">
        <v>34394000000</v>
      </c>
      <c r="O7" t="s">
        <v>142</v>
      </c>
      <c r="P7" t="s">
        <v>282</v>
      </c>
      <c r="Q7" s="60">
        <v>1040335</v>
      </c>
      <c r="R7" s="60">
        <v>965570</v>
      </c>
      <c r="S7">
        <v>1363231</v>
      </c>
      <c r="T7">
        <v>1934393</v>
      </c>
      <c r="U7">
        <v>1416448</v>
      </c>
      <c r="X7">
        <v>0</v>
      </c>
      <c r="Y7">
        <v>0</v>
      </c>
      <c r="Z7">
        <v>381533</v>
      </c>
      <c r="AA7">
        <v>231192</v>
      </c>
      <c r="AB7">
        <v>297283</v>
      </c>
      <c r="AE7" s="53">
        <f>IF(OR(ISBLANK(Q7), ISBLANK(X7)),"",Q7+X7)</f>
        <v>1040335</v>
      </c>
      <c r="AF7" s="53">
        <f t="shared" si="7"/>
        <v>965570</v>
      </c>
      <c r="AG7" s="53">
        <f t="shared" si="8"/>
        <v>1744764</v>
      </c>
      <c r="AH7" s="53">
        <f t="shared" si="9"/>
        <v>2165585</v>
      </c>
      <c r="AI7" s="53">
        <f t="shared" si="10"/>
        <v>1713731</v>
      </c>
      <c r="AJ7" s="53" t="str">
        <f t="shared" si="11"/>
        <v/>
      </c>
      <c r="AK7" s="53" t="str">
        <f t="shared" si="12"/>
        <v/>
      </c>
      <c r="AN7">
        <v>21590220</v>
      </c>
      <c r="AO7">
        <v>19892852</v>
      </c>
      <c r="AP7">
        <v>24528246</v>
      </c>
      <c r="AS7" s="64">
        <v>17912</v>
      </c>
      <c r="AT7" s="64">
        <v>18104</v>
      </c>
      <c r="AU7">
        <v>20057</v>
      </c>
      <c r="AV7">
        <v>20960</v>
      </c>
      <c r="AW7">
        <v>22142</v>
      </c>
    </row>
    <row r="8" spans="1:52">
      <c r="A8" t="s">
        <v>161</v>
      </c>
      <c r="B8" s="3" t="s">
        <v>162</v>
      </c>
      <c r="C8" t="s">
        <v>163</v>
      </c>
      <c r="D8" t="s">
        <v>61</v>
      </c>
      <c r="E8"/>
      <c r="F8" t="s">
        <v>141</v>
      </c>
      <c r="G8" s="3" t="s">
        <v>64</v>
      </c>
      <c r="H8" t="s">
        <v>65</v>
      </c>
      <c r="I8" s="4">
        <v>44196</v>
      </c>
      <c r="J8">
        <v>3528768075</v>
      </c>
      <c r="K8">
        <v>1734900000</v>
      </c>
      <c r="L8">
        <v>6659087075</v>
      </c>
      <c r="M8">
        <v>6668864075</v>
      </c>
      <c r="N8">
        <v>7558457000</v>
      </c>
      <c r="O8" t="s">
        <v>142</v>
      </c>
      <c r="P8" t="s">
        <v>143</v>
      </c>
      <c r="S8" s="60">
        <v>4063143</v>
      </c>
      <c r="T8" s="60">
        <v>3963128</v>
      </c>
      <c r="U8" s="60">
        <v>4036591</v>
      </c>
      <c r="Z8" s="60">
        <v>1300042</v>
      </c>
      <c r="AA8" s="60">
        <v>1219954</v>
      </c>
      <c r="AB8" s="60">
        <v>1001588</v>
      </c>
      <c r="AE8" s="53" t="str">
        <f>IF(OR(ISBLANK(Q8), ISBLANK(X8)),"",Q8+X8)</f>
        <v/>
      </c>
      <c r="AF8" s="53" t="str">
        <f t="shared" si="7"/>
        <v/>
      </c>
      <c r="AG8" s="53">
        <f t="shared" si="8"/>
        <v>5363185</v>
      </c>
      <c r="AH8" s="53">
        <f t="shared" si="9"/>
        <v>5183082</v>
      </c>
      <c r="AI8" s="53">
        <f t="shared" si="10"/>
        <v>5038179</v>
      </c>
      <c r="AJ8" s="53" t="str">
        <f t="shared" si="11"/>
        <v/>
      </c>
      <c r="AK8" s="53" t="str">
        <f t="shared" si="12"/>
        <v/>
      </c>
      <c r="AU8">
        <v>7067031.0930000003</v>
      </c>
      <c r="AV8">
        <v>7195251.4899999993</v>
      </c>
      <c r="AW8" s="60">
        <v>7324609</v>
      </c>
    </row>
    <row r="9" spans="1:52">
      <c r="A9" t="s">
        <v>164</v>
      </c>
      <c r="B9" s="3" t="s">
        <v>165</v>
      </c>
      <c r="C9" t="s">
        <v>166</v>
      </c>
      <c r="D9" t="s">
        <v>61</v>
      </c>
      <c r="E9"/>
      <c r="F9" t="s">
        <v>167</v>
      </c>
      <c r="G9" s="3" t="s">
        <v>64</v>
      </c>
      <c r="H9" t="s">
        <v>65</v>
      </c>
      <c r="I9" s="4">
        <v>44196</v>
      </c>
      <c r="J9">
        <v>1687208892</v>
      </c>
      <c r="K9">
        <v>2380200000</v>
      </c>
      <c r="L9">
        <v>2210808892</v>
      </c>
      <c r="M9">
        <v>2237808892</v>
      </c>
      <c r="N9">
        <v>3187800000</v>
      </c>
      <c r="O9" t="s">
        <v>128</v>
      </c>
      <c r="P9" t="s">
        <v>287</v>
      </c>
      <c r="AE9" s="53">
        <v>0.29805500000000001</v>
      </c>
      <c r="AF9" s="53">
        <v>0.29805500000000001</v>
      </c>
      <c r="AG9" s="53">
        <v>0.29805500000000001</v>
      </c>
      <c r="AH9" s="53">
        <v>0.29805500000000001</v>
      </c>
      <c r="AI9" s="53">
        <v>0.29283215098729842</v>
      </c>
      <c r="AS9">
        <v>0.13883100000000001</v>
      </c>
      <c r="AT9">
        <v>0.13883100000000001</v>
      </c>
      <c r="AU9">
        <v>0.13883100000000001</v>
      </c>
      <c r="AV9">
        <v>0.13883100000000001</v>
      </c>
      <c r="AW9">
        <v>0.14094485815987501</v>
      </c>
    </row>
    <row r="10" spans="1:52">
      <c r="A10" t="s">
        <v>169</v>
      </c>
      <c r="B10" s="3" t="s">
        <v>170</v>
      </c>
      <c r="C10" t="s">
        <v>171</v>
      </c>
      <c r="D10" t="s">
        <v>61</v>
      </c>
      <c r="E10"/>
      <c r="F10" t="s">
        <v>141</v>
      </c>
      <c r="G10" s="3" t="s">
        <v>64</v>
      </c>
      <c r="H10" t="s">
        <v>65</v>
      </c>
      <c r="I10" s="4">
        <v>44196</v>
      </c>
      <c r="J10">
        <v>16647000000</v>
      </c>
      <c r="K10">
        <v>6845000000</v>
      </c>
      <c r="L10">
        <v>28458000000</v>
      </c>
      <c r="M10">
        <v>28598000000</v>
      </c>
      <c r="N10">
        <v>26837000000</v>
      </c>
      <c r="O10" t="s">
        <v>128</v>
      </c>
      <c r="P10" t="s">
        <v>286</v>
      </c>
      <c r="AE10" s="53">
        <v>11.183374199999999</v>
      </c>
      <c r="AF10" s="53">
        <v>12.381008120000001</v>
      </c>
      <c r="AG10" s="53">
        <v>12.27761477</v>
      </c>
      <c r="AH10" s="53">
        <v>12.512963060000001</v>
      </c>
      <c r="AI10" s="53">
        <v>11.91710767</v>
      </c>
      <c r="AS10">
        <v>18.979711429999998</v>
      </c>
      <c r="AT10">
        <v>20.31118927</v>
      </c>
      <c r="AU10">
        <v>20.50728269</v>
      </c>
      <c r="AV10">
        <v>22.28763412</v>
      </c>
      <c r="AW10">
        <v>22.324507709999999</v>
      </c>
      <c r="AX10" s="62"/>
    </row>
    <row r="11" spans="1:52">
      <c r="A11" t="s">
        <v>172</v>
      </c>
      <c r="B11" s="3" t="s">
        <v>173</v>
      </c>
      <c r="C11" t="s">
        <v>174</v>
      </c>
      <c r="D11" t="s">
        <v>61</v>
      </c>
      <c r="E11"/>
      <c r="F11" t="s">
        <v>167</v>
      </c>
      <c r="G11" s="3" t="s">
        <v>64</v>
      </c>
      <c r="H11" t="s">
        <v>65</v>
      </c>
      <c r="I11" s="4">
        <v>44196</v>
      </c>
      <c r="J11">
        <v>2200000000</v>
      </c>
      <c r="K11">
        <v>5829002000</v>
      </c>
      <c r="L11">
        <v>1</v>
      </c>
      <c r="M11">
        <v>1</v>
      </c>
      <c r="N11">
        <v>3758771000</v>
      </c>
      <c r="O11" s="52" t="s">
        <v>142</v>
      </c>
      <c r="P11" s="52" t="s">
        <v>168</v>
      </c>
      <c r="T11" s="60">
        <v>1048006</v>
      </c>
      <c r="U11" s="60">
        <v>1106156</v>
      </c>
      <c r="V11" s="63">
        <v>1117753</v>
      </c>
      <c r="AA11" s="63">
        <v>1500431</v>
      </c>
      <c r="AB11" s="63">
        <v>1466830</v>
      </c>
      <c r="AC11" s="63">
        <v>1436765</v>
      </c>
      <c r="AE11" s="53" t="str">
        <f t="shared" ref="AE11:AK11" si="13">IF(OR(ISBLANK(Q11), ISBLANK(X11)),"",Q11+X11)</f>
        <v/>
      </c>
      <c r="AF11" s="53" t="str">
        <f t="shared" si="13"/>
        <v/>
      </c>
      <c r="AG11" s="53" t="str">
        <f t="shared" si="13"/>
        <v/>
      </c>
      <c r="AH11" s="53">
        <f t="shared" si="13"/>
        <v>2548437</v>
      </c>
      <c r="AI11" s="53">
        <f t="shared" si="13"/>
        <v>2572986</v>
      </c>
      <c r="AJ11" s="53">
        <f t="shared" si="13"/>
        <v>2554518</v>
      </c>
      <c r="AK11" s="53" t="str">
        <f t="shared" si="13"/>
        <v/>
      </c>
      <c r="AS11">
        <v>5301216</v>
      </c>
      <c r="AT11">
        <v>5301216</v>
      </c>
      <c r="AU11">
        <v>5301216</v>
      </c>
      <c r="AV11">
        <f>2548437/0.481</f>
        <v>5298205.8212058218</v>
      </c>
      <c r="AW11">
        <f>2572986/0.464</f>
        <v>5545228.4482758613</v>
      </c>
      <c r="AX11" s="62">
        <f>2554518/0.451</f>
        <v>5664119.7339246115</v>
      </c>
    </row>
    <row r="12" spans="1:52">
      <c r="A12" t="s">
        <v>175</v>
      </c>
      <c r="B12" s="3" t="s">
        <v>176</v>
      </c>
      <c r="C12" t="s">
        <v>177</v>
      </c>
      <c r="D12" t="s">
        <v>61</v>
      </c>
      <c r="E12"/>
      <c r="F12" t="s">
        <v>141</v>
      </c>
      <c r="G12" s="3" t="s">
        <v>64</v>
      </c>
      <c r="H12" t="s">
        <v>65</v>
      </c>
      <c r="I12" s="4">
        <v>44196</v>
      </c>
      <c r="J12">
        <v>3210376042</v>
      </c>
      <c r="K12">
        <v>1639605000</v>
      </c>
      <c r="L12">
        <v>1</v>
      </c>
      <c r="M12">
        <v>1</v>
      </c>
      <c r="N12">
        <v>7476298000</v>
      </c>
      <c r="O12" t="s">
        <v>128</v>
      </c>
      <c r="P12" t="s">
        <v>286</v>
      </c>
      <c r="AE12" s="53">
        <v>9.9820912380000006</v>
      </c>
      <c r="AF12" s="53">
        <v>8.7791840319999999</v>
      </c>
      <c r="AG12" s="53">
        <v>9.3084717799999996</v>
      </c>
      <c r="AH12" s="53">
        <v>8.448013328</v>
      </c>
      <c r="AI12" s="70">
        <v>8.448013328</v>
      </c>
      <c r="AS12">
        <v>14.52558153</v>
      </c>
      <c r="AT12">
        <v>12.52148775</v>
      </c>
      <c r="AU12">
        <v>13.19964667</v>
      </c>
      <c r="AV12">
        <v>13.86123875</v>
      </c>
      <c r="AW12">
        <v>12.81041680835213</v>
      </c>
      <c r="AX12" s="62"/>
    </row>
    <row r="13" spans="1:52">
      <c r="A13" t="s">
        <v>178</v>
      </c>
      <c r="B13" s="3" t="s">
        <v>179</v>
      </c>
      <c r="C13" t="s">
        <v>180</v>
      </c>
      <c r="D13" t="s">
        <v>61</v>
      </c>
      <c r="E13"/>
      <c r="F13" t="s">
        <v>141</v>
      </c>
      <c r="G13" s="3" t="s">
        <v>64</v>
      </c>
      <c r="H13" t="s">
        <v>65</v>
      </c>
      <c r="I13" s="4">
        <v>44196</v>
      </c>
      <c r="J13">
        <v>24000000000</v>
      </c>
      <c r="K13">
        <v>12574000000</v>
      </c>
      <c r="L13">
        <v>42992000000</v>
      </c>
      <c r="M13">
        <v>43973000000</v>
      </c>
      <c r="N13">
        <v>58079000000</v>
      </c>
      <c r="O13" s="52" t="s">
        <v>128</v>
      </c>
      <c r="P13" s="52" t="s">
        <v>286</v>
      </c>
      <c r="Q13">
        <v>1.325786621</v>
      </c>
      <c r="R13">
        <v>1.323738978</v>
      </c>
      <c r="S13">
        <v>1.2685339369999999</v>
      </c>
      <c r="T13">
        <v>1.202690405</v>
      </c>
      <c r="U13">
        <v>1.145419433</v>
      </c>
      <c r="X13">
        <v>0</v>
      </c>
      <c r="Y13">
        <v>0</v>
      </c>
      <c r="Z13">
        <v>0</v>
      </c>
      <c r="AA13">
        <v>0</v>
      </c>
      <c r="AB13">
        <v>0</v>
      </c>
      <c r="AE13" s="53">
        <f>IF(OR(ISBLANK(Q13), ISBLANK(X13)),"",Q13+X13)</f>
        <v>1.325786621</v>
      </c>
      <c r="AF13" s="53">
        <f t="shared" ref="AF13" si="14">IF(ISBLANK(R13),IF(ISBLANK(Y13),"",Y13),R13+Y13)</f>
        <v>1.323738978</v>
      </c>
      <c r="AG13" s="53">
        <f t="shared" ref="AG13" si="15">IF(ISBLANK(S13),IF(ISBLANK(Z13),"",Z13),S13+Z13)</f>
        <v>1.2685339369999999</v>
      </c>
      <c r="AH13" s="53">
        <f t="shared" ref="AH13" si="16">IF(ISBLANK(T13),IF(ISBLANK(AA13),"",AA13),T13+AA13)</f>
        <v>1.202690405</v>
      </c>
      <c r="AI13" s="53">
        <f t="shared" ref="AI13" si="17">IF(ISBLANK(U13),IF(ISBLANK(AB13),"",AB13),U13+AB13)</f>
        <v>1.145419433</v>
      </c>
      <c r="AJ13" s="53" t="str">
        <f t="shared" ref="AJ13" si="18">IF(ISBLANK(V13),IF(ISBLANK(AC13),"",AC13),V13+AC13)</f>
        <v/>
      </c>
      <c r="AK13" s="53" t="str">
        <f t="shared" ref="AK13" si="19">IF(ISBLANK(W13),IF(ISBLANK(AD13),"",AD13),W13+AD13)</f>
        <v/>
      </c>
      <c r="AS13">
        <v>5.3109194439999996</v>
      </c>
      <c r="AT13">
        <v>5.7325927349999999</v>
      </c>
      <c r="AU13">
        <v>6.0319896030000004</v>
      </c>
      <c r="AV13">
        <v>6.5057034040000001</v>
      </c>
      <c r="AW13">
        <v>6.0125053568358231</v>
      </c>
      <c r="AX13" s="62"/>
    </row>
    <row r="14" spans="1:52">
      <c r="A14" t="s">
        <v>181</v>
      </c>
      <c r="B14" s="3" t="s">
        <v>182</v>
      </c>
      <c r="C14" t="s">
        <v>183</v>
      </c>
      <c r="D14" t="s">
        <v>61</v>
      </c>
      <c r="E14"/>
      <c r="F14" t="s">
        <v>141</v>
      </c>
      <c r="G14" s="3" t="s">
        <v>64</v>
      </c>
      <c r="H14" t="s">
        <v>65</v>
      </c>
      <c r="I14" s="4">
        <v>44196</v>
      </c>
      <c r="J14">
        <v>20500000000</v>
      </c>
      <c r="K14">
        <v>12669000000</v>
      </c>
      <c r="L14">
        <v>36342000000</v>
      </c>
      <c r="M14">
        <v>36435000000</v>
      </c>
      <c r="N14">
        <v>42268000000</v>
      </c>
      <c r="O14" s="52" t="s">
        <v>128</v>
      </c>
      <c r="P14" s="52" t="s">
        <v>286</v>
      </c>
      <c r="Q14">
        <v>26.796145450000001</v>
      </c>
      <c r="R14">
        <v>27.947696990000001</v>
      </c>
      <c r="S14">
        <v>29.95633261</v>
      </c>
      <c r="T14">
        <v>27.00027425</v>
      </c>
      <c r="U14">
        <v>26.48364437</v>
      </c>
      <c r="X14">
        <v>0</v>
      </c>
      <c r="Y14">
        <v>0</v>
      </c>
      <c r="Z14">
        <v>0</v>
      </c>
      <c r="AA14">
        <v>0</v>
      </c>
      <c r="AB14">
        <v>0</v>
      </c>
      <c r="AE14" s="53">
        <f>IF(OR(ISBLANK(Q14), ISBLANK(X14)),"",Q14+X14)</f>
        <v>26.796145450000001</v>
      </c>
      <c r="AF14" s="53">
        <f t="shared" ref="AF14" si="20">IF(ISBLANK(R14),IF(ISBLANK(Y14),"",Y14),R14+Y14)</f>
        <v>27.947696990000001</v>
      </c>
      <c r="AG14" s="53">
        <f t="shared" ref="AG14" si="21">IF(ISBLANK(S14),IF(ISBLANK(Z14),"",Z14),S14+Z14)</f>
        <v>29.95633261</v>
      </c>
      <c r="AH14" s="53">
        <f t="shared" ref="AH14" si="22">IF(ISBLANK(T14),IF(ISBLANK(AA14),"",AA14),T14+AA14)</f>
        <v>27.00027425</v>
      </c>
      <c r="AI14" s="53">
        <f t="shared" ref="AI14" si="23">IF(ISBLANK(U14),IF(ISBLANK(AB14),"",AB14),U14+AB14)</f>
        <v>26.48364437</v>
      </c>
      <c r="AJ14" s="53" t="str">
        <f t="shared" ref="AJ14" si="24">IF(ISBLANK(V14),IF(ISBLANK(AC14),"",AC14),V14+AC14)</f>
        <v/>
      </c>
      <c r="AK14" s="53" t="str">
        <f t="shared" ref="AK14" si="25">IF(ISBLANK(W14),IF(ISBLANK(AD14),"",AD14),W14+AD14)</f>
        <v/>
      </c>
      <c r="AS14">
        <v>39.339109710000002</v>
      </c>
      <c r="AT14">
        <v>39.490179230000003</v>
      </c>
      <c r="AU14">
        <v>40.7944417</v>
      </c>
      <c r="AV14">
        <v>40.197309990000001</v>
      </c>
      <c r="AW14">
        <v>37.14994776685721</v>
      </c>
      <c r="AX14" s="62"/>
    </row>
    <row r="15" spans="1:52">
      <c r="A15" t="s">
        <v>184</v>
      </c>
      <c r="B15" s="3" t="s">
        <v>185</v>
      </c>
      <c r="C15" t="s">
        <v>186</v>
      </c>
      <c r="D15" t="s">
        <v>61</v>
      </c>
      <c r="E15"/>
      <c r="F15" t="s">
        <v>141</v>
      </c>
      <c r="G15" s="3" t="s">
        <v>64</v>
      </c>
      <c r="H15" t="s">
        <v>65</v>
      </c>
      <c r="I15" s="4">
        <v>44196</v>
      </c>
      <c r="J15">
        <v>68000000000</v>
      </c>
      <c r="K15">
        <v>14401000000</v>
      </c>
      <c r="L15">
        <v>96863000000</v>
      </c>
      <c r="M15">
        <v>96998000000</v>
      </c>
      <c r="N15">
        <v>103823000000</v>
      </c>
      <c r="O15" s="52" t="s">
        <v>128</v>
      </c>
      <c r="P15" s="52" t="s">
        <v>286</v>
      </c>
      <c r="T15">
        <v>31.75</v>
      </c>
      <c r="U15">
        <v>32.957000000000001</v>
      </c>
      <c r="AA15">
        <v>8.26</v>
      </c>
      <c r="AB15">
        <v>4.5759999999999996</v>
      </c>
      <c r="AE15" s="53">
        <v>43.346773548000002</v>
      </c>
      <c r="AF15" s="53">
        <v>36.869361507000001</v>
      </c>
      <c r="AG15" s="53">
        <v>35.455656216999998</v>
      </c>
      <c r="AH15" s="53">
        <v>31.432803556</v>
      </c>
      <c r="AI15" s="53">
        <v>30.418842145999999</v>
      </c>
      <c r="AO15">
        <f>(0.31+0.142+0.011)*26.6</f>
        <v>12.315799999999999</v>
      </c>
      <c r="AS15">
        <v>106.43053159</v>
      </c>
      <c r="AT15">
        <v>99.522718589999997</v>
      </c>
      <c r="AU15">
        <v>99.984302179999986</v>
      </c>
      <c r="AV15">
        <v>102.19514168000001</v>
      </c>
      <c r="AW15">
        <v>103.314188346027</v>
      </c>
      <c r="AX15" s="62"/>
    </row>
    <row r="16" spans="1:52">
      <c r="A16" t="s">
        <v>187</v>
      </c>
      <c r="B16" s="3" t="s">
        <v>188</v>
      </c>
      <c r="C16" t="s">
        <v>189</v>
      </c>
      <c r="D16" t="s">
        <v>61</v>
      </c>
      <c r="E16"/>
      <c r="F16" t="s">
        <v>141</v>
      </c>
      <c r="G16" s="3" t="s">
        <v>64</v>
      </c>
      <c r="H16" t="s">
        <v>65</v>
      </c>
      <c r="I16" s="4">
        <v>44196</v>
      </c>
      <c r="J16">
        <v>58688204289</v>
      </c>
      <c r="K16">
        <v>25079000000</v>
      </c>
      <c r="L16">
        <v>121439204289</v>
      </c>
      <c r="M16">
        <v>121750204289</v>
      </c>
      <c r="N16">
        <v>158838000000</v>
      </c>
      <c r="O16" s="52" t="s">
        <v>128</v>
      </c>
      <c r="P16" s="52" t="s">
        <v>286</v>
      </c>
      <c r="Q16">
        <v>94.923459879999996</v>
      </c>
      <c r="R16">
        <v>93.530450478000006</v>
      </c>
      <c r="S16">
        <v>95.012237693000003</v>
      </c>
      <c r="T16">
        <v>83.595723118999999</v>
      </c>
      <c r="U16">
        <v>82.018839239000002</v>
      </c>
      <c r="X16">
        <v>0</v>
      </c>
      <c r="Y16">
        <v>0</v>
      </c>
      <c r="Z16">
        <v>0</v>
      </c>
      <c r="AA16">
        <v>0</v>
      </c>
      <c r="AB16">
        <v>0</v>
      </c>
      <c r="AE16" s="53">
        <f t="shared" ref="AE16:AE17" si="26">IF(OR(ISBLANK(Q16), ISBLANK(X16)),"",Q16+X16)</f>
        <v>94.923459879999996</v>
      </c>
      <c r="AF16" s="53">
        <f t="shared" ref="AF16:AF17" si="27">IF(ISBLANK(R16),IF(ISBLANK(Y16),"",Y16),R16+Y16)</f>
        <v>93.530450478000006</v>
      </c>
      <c r="AG16" s="53">
        <f t="shared" ref="AG16:AG17" si="28">IF(ISBLANK(S16),IF(ISBLANK(Z16),"",Z16),S16+Z16)</f>
        <v>95.012237693000003</v>
      </c>
      <c r="AH16" s="53">
        <f t="shared" ref="AH16:AH17" si="29">IF(ISBLANK(T16),IF(ISBLANK(AA16),"",AA16),T16+AA16)</f>
        <v>83.595723118999999</v>
      </c>
      <c r="AI16" s="53">
        <f t="shared" ref="AI16:AI17" si="30">IF(ISBLANK(U16),IF(ISBLANK(AB16),"",AB16),U16+AB16)</f>
        <v>82.018839239000002</v>
      </c>
      <c r="AJ16" s="53" t="str">
        <f t="shared" ref="AJ16:AJ17" si="31">IF(ISBLANK(V16),IF(ISBLANK(AC16),"",AC16),V16+AC16)</f>
        <v/>
      </c>
      <c r="AK16" s="53" t="str">
        <f t="shared" ref="AK16:AK17" si="32">IF(ISBLANK(W16),IF(ISBLANK(AD16),"",AD16),W16+AD16)</f>
        <v/>
      </c>
      <c r="AS16">
        <v>221.77898501999999</v>
      </c>
      <c r="AT16">
        <v>222.41056646000001</v>
      </c>
      <c r="AU16">
        <v>225.51497273000001</v>
      </c>
      <c r="AV16">
        <v>216.60189564999999</v>
      </c>
      <c r="AW16">
        <v>217.79186281500009</v>
      </c>
      <c r="AX16" s="62"/>
    </row>
    <row r="17" spans="1:50">
      <c r="A17" t="s">
        <v>190</v>
      </c>
      <c r="B17" s="3" t="s">
        <v>191</v>
      </c>
      <c r="C17" t="s">
        <v>192</v>
      </c>
      <c r="D17" t="s">
        <v>61</v>
      </c>
      <c r="E17"/>
      <c r="F17" t="s">
        <v>141</v>
      </c>
      <c r="G17" s="3" t="s">
        <v>64</v>
      </c>
      <c r="H17" t="s">
        <v>65</v>
      </c>
      <c r="I17" s="4">
        <v>44196</v>
      </c>
      <c r="J17">
        <v>18800000000</v>
      </c>
      <c r="K17">
        <v>10878673000</v>
      </c>
      <c r="L17">
        <v>37434228000</v>
      </c>
      <c r="M17">
        <v>37859950000</v>
      </c>
      <c r="N17">
        <v>51723912000</v>
      </c>
      <c r="O17" s="52" t="s">
        <v>128</v>
      </c>
      <c r="P17" s="52" t="s">
        <v>286</v>
      </c>
      <c r="Q17">
        <v>32.516193991999998</v>
      </c>
      <c r="R17">
        <v>31.450986952000001</v>
      </c>
      <c r="S17">
        <v>34.631975513</v>
      </c>
      <c r="T17">
        <v>33.246229124999999</v>
      </c>
      <c r="U17" s="16">
        <v>33.246229124999999</v>
      </c>
      <c r="X17">
        <v>0</v>
      </c>
      <c r="Y17">
        <v>0</v>
      </c>
      <c r="Z17">
        <v>0</v>
      </c>
      <c r="AA17">
        <v>0</v>
      </c>
      <c r="AB17">
        <v>0</v>
      </c>
      <c r="AE17" s="53">
        <f t="shared" si="26"/>
        <v>32.516193991999998</v>
      </c>
      <c r="AF17" s="53">
        <f t="shared" si="27"/>
        <v>31.450986952000001</v>
      </c>
      <c r="AG17" s="53">
        <f t="shared" si="28"/>
        <v>34.631975513</v>
      </c>
      <c r="AH17" s="53">
        <f t="shared" si="29"/>
        <v>33.246229124999999</v>
      </c>
      <c r="AI17" s="53">
        <f t="shared" si="30"/>
        <v>33.246229124999999</v>
      </c>
      <c r="AJ17" s="53" t="str">
        <f t="shared" si="31"/>
        <v/>
      </c>
      <c r="AK17" s="53" t="str">
        <f t="shared" si="32"/>
        <v/>
      </c>
      <c r="AS17">
        <v>102.999524264</v>
      </c>
      <c r="AT17">
        <v>98.242043473999999</v>
      </c>
      <c r="AU17">
        <v>105.741655513</v>
      </c>
      <c r="AV17">
        <v>109.743440224</v>
      </c>
      <c r="AW17">
        <v>107.355350022618</v>
      </c>
      <c r="AX17" s="62"/>
    </row>
    <row r="18" spans="1:50">
      <c r="A18" t="s">
        <v>193</v>
      </c>
      <c r="B18" s="3" t="s">
        <v>194</v>
      </c>
      <c r="C18" t="s">
        <v>195</v>
      </c>
      <c r="D18" t="s">
        <v>61</v>
      </c>
      <c r="E18"/>
      <c r="F18" t="s">
        <v>141</v>
      </c>
      <c r="G18" s="3" t="s">
        <v>64</v>
      </c>
      <c r="H18" t="s">
        <v>65</v>
      </c>
      <c r="I18" s="4">
        <v>44196</v>
      </c>
      <c r="J18">
        <v>13410149293</v>
      </c>
      <c r="K18">
        <v>5147800000</v>
      </c>
      <c r="L18">
        <v>22133649293</v>
      </c>
      <c r="M18">
        <v>22156849293</v>
      </c>
      <c r="N18">
        <v>25975900000</v>
      </c>
      <c r="O18" s="52" t="s">
        <v>128</v>
      </c>
      <c r="P18" s="52" t="s">
        <v>286</v>
      </c>
      <c r="Q18">
        <v>35.122915438000007</v>
      </c>
      <c r="R18">
        <v>32.270565695999998</v>
      </c>
      <c r="S18">
        <v>28.483757178000001</v>
      </c>
      <c r="T18">
        <v>26.74941115</v>
      </c>
      <c r="U18">
        <v>35.013482494000002</v>
      </c>
      <c r="X18">
        <v>0</v>
      </c>
      <c r="Y18">
        <v>0</v>
      </c>
      <c r="Z18">
        <v>0</v>
      </c>
      <c r="AA18">
        <v>0</v>
      </c>
      <c r="AB18">
        <v>0</v>
      </c>
      <c r="AE18" s="53">
        <f t="shared" ref="AE18" si="33">IF(OR(ISBLANK(Q18), ISBLANK(X18)),"",Q18+X18)</f>
        <v>35.122915438000007</v>
      </c>
      <c r="AF18" s="53">
        <f t="shared" ref="AF18" si="34">IF(OR(ISBLANK(R18), ISBLANK(Y18)),"",R18+Y18)</f>
        <v>32.270565695999998</v>
      </c>
      <c r="AG18" s="53">
        <f t="shared" ref="AG18" si="35">IF(OR(ISBLANK(S18), ISBLANK(Z18)),"",S18+Z18)</f>
        <v>28.483757178000001</v>
      </c>
      <c r="AH18" s="53">
        <f t="shared" ref="AH18" si="36">IF(OR(ISBLANK(T18), ISBLANK(AA18)),"",T18+AA18)</f>
        <v>26.74941115</v>
      </c>
      <c r="AI18" s="53">
        <f t="shared" ref="AI18" si="37">IF(OR(ISBLANK(U18), ISBLANK(AB18)),"",U18+AB18)</f>
        <v>35.013482494000002</v>
      </c>
      <c r="AJ18" s="53" t="str">
        <f t="shared" ref="AJ18" si="38">IF(OR(ISBLANK(V18), ISBLANK(AC18)),"",V18+AC18)</f>
        <v/>
      </c>
      <c r="AK18" s="53" t="str">
        <f t="shared" ref="AK18" si="39">IF(OR(ISBLANK(W18), ISBLANK(AD18)),"",W18+AD18)</f>
        <v/>
      </c>
      <c r="AS18">
        <v>47.465894990000002</v>
      </c>
      <c r="AT18">
        <v>47.22838256</v>
      </c>
      <c r="AU18">
        <v>42.360400810000002</v>
      </c>
      <c r="AV18">
        <v>41.417892389999999</v>
      </c>
      <c r="AW18">
        <v>52.209390303404128</v>
      </c>
      <c r="AX18" s="62"/>
    </row>
    <row r="19" spans="1:50">
      <c r="A19" t="s">
        <v>196</v>
      </c>
      <c r="B19" s="3" t="s">
        <v>197</v>
      </c>
      <c r="C19" t="s">
        <v>198</v>
      </c>
      <c r="D19" t="s">
        <v>61</v>
      </c>
      <c r="E19"/>
      <c r="F19" t="s">
        <v>141</v>
      </c>
      <c r="G19" s="3" t="s">
        <v>64</v>
      </c>
      <c r="H19" t="s">
        <v>65</v>
      </c>
      <c r="I19" s="4">
        <v>44196</v>
      </c>
      <c r="J19">
        <v>28496151703</v>
      </c>
      <c r="K19">
        <v>8526470000</v>
      </c>
      <c r="L19">
        <v>42251547703</v>
      </c>
      <c r="M19">
        <v>42266979703</v>
      </c>
      <c r="N19">
        <v>41123915000</v>
      </c>
      <c r="O19" s="52" t="s">
        <v>128</v>
      </c>
      <c r="P19" s="52" t="s">
        <v>286</v>
      </c>
      <c r="Q19">
        <v>0.54127069000000005</v>
      </c>
      <c r="R19">
        <v>0.38852905199999999</v>
      </c>
      <c r="S19">
        <v>3.4941450000000002E-3</v>
      </c>
      <c r="T19">
        <v>2.2128600000000001E-4</v>
      </c>
      <c r="U19">
        <f>T19</f>
        <v>2.2128600000000001E-4</v>
      </c>
      <c r="X19">
        <v>0</v>
      </c>
      <c r="Y19">
        <v>0</v>
      </c>
      <c r="Z19">
        <v>0</v>
      </c>
      <c r="AA19">
        <v>0</v>
      </c>
      <c r="AB19">
        <v>0</v>
      </c>
      <c r="AE19" s="53">
        <f t="shared" ref="AE19" si="40">IF(OR(ISBLANK(Q19), ISBLANK(X19)),"",Q19+X19)</f>
        <v>0.54127069000000005</v>
      </c>
      <c r="AF19" s="53">
        <f t="shared" ref="AF19" si="41">IF(OR(ISBLANK(R19), ISBLANK(Y19)),"",R19+Y19)</f>
        <v>0.38852905199999999</v>
      </c>
      <c r="AG19" s="53">
        <f t="shared" ref="AG19" si="42">IF(OR(ISBLANK(S19), ISBLANK(Z19)),"",S19+Z19)</f>
        <v>3.4941450000000002E-3</v>
      </c>
      <c r="AH19" s="53">
        <f t="shared" ref="AH19" si="43">IF(OR(ISBLANK(T19), ISBLANK(AA19)),"",T19+AA19)</f>
        <v>2.2128600000000001E-4</v>
      </c>
      <c r="AI19" s="53">
        <f t="shared" ref="AI19" si="44">IF(OR(ISBLANK(U19), ISBLANK(AB19)),"",U19+AB19)</f>
        <v>2.2128600000000001E-4</v>
      </c>
      <c r="AJ19" s="53" t="str">
        <f t="shared" ref="AJ19" si="45">IF(OR(ISBLANK(V19), ISBLANK(AC19)),"",V19+AC19)</f>
        <v/>
      </c>
      <c r="AK19" s="53" t="str">
        <f t="shared" ref="AK19" si="46">IF(OR(ISBLANK(W19), ISBLANK(AD19)),"",W19+AD19)</f>
        <v/>
      </c>
      <c r="AS19">
        <v>1.080058642</v>
      </c>
      <c r="AT19">
        <v>0.99355118800000009</v>
      </c>
      <c r="AU19">
        <v>1.017443611</v>
      </c>
      <c r="AV19">
        <v>1.0607533419999999</v>
      </c>
      <c r="AW19">
        <v>0.98033752155610898</v>
      </c>
    </row>
    <row r="20" spans="1:50">
      <c r="A20" t="s">
        <v>199</v>
      </c>
      <c r="B20" s="3" t="s">
        <v>200</v>
      </c>
      <c r="C20" t="s">
        <v>201</v>
      </c>
      <c r="D20" t="s">
        <v>61</v>
      </c>
      <c r="E20"/>
      <c r="F20" t="s">
        <v>141</v>
      </c>
      <c r="G20" s="3" t="s">
        <v>64</v>
      </c>
      <c r="H20" t="s">
        <v>65</v>
      </c>
      <c r="I20" s="4">
        <v>44196</v>
      </c>
      <c r="J20">
        <v>35402501369</v>
      </c>
      <c r="K20">
        <v>34438000000</v>
      </c>
      <c r="L20">
        <v>66144501369</v>
      </c>
      <c r="M20">
        <v>66731501369</v>
      </c>
      <c r="N20">
        <v>124977000000</v>
      </c>
      <c r="O20" s="52" t="s">
        <v>142</v>
      </c>
      <c r="P20" s="52" t="s">
        <v>143</v>
      </c>
      <c r="Q20">
        <v>9723000</v>
      </c>
      <c r="R20" s="66">
        <v>9532000</v>
      </c>
      <c r="S20" s="66">
        <v>8841000</v>
      </c>
      <c r="T20" s="66">
        <v>8566000</v>
      </c>
      <c r="U20" s="66">
        <v>8493000</v>
      </c>
      <c r="X20">
        <v>7061000</v>
      </c>
      <c r="Y20" s="66">
        <v>17693000</v>
      </c>
      <c r="Z20" s="66">
        <v>21022000</v>
      </c>
      <c r="AA20" s="66">
        <v>18864000</v>
      </c>
      <c r="AB20" s="66">
        <v>13720000</v>
      </c>
      <c r="AE20" s="53">
        <f>IF(OR(ISBLANK(Q20), ISBLANK(X20)),"",Q20+X20)</f>
        <v>16784000</v>
      </c>
      <c r="AF20" s="53">
        <f t="shared" ref="AF20" si="47">IF(ISBLANK(R20),IF(ISBLANK(Y20),"",Y20),R20+Y20)</f>
        <v>27225000</v>
      </c>
      <c r="AG20" s="53">
        <f t="shared" ref="AG20" si="48">IF(ISBLANK(S20),IF(ISBLANK(Z20),"",Z20),S20+Z20)</f>
        <v>29863000</v>
      </c>
      <c r="AH20" s="53">
        <f t="shared" ref="AH20" si="49">IF(ISBLANK(T20),IF(ISBLANK(AA20),"",AA20),T20+AA20)</f>
        <v>27430000</v>
      </c>
      <c r="AI20" s="53">
        <f t="shared" ref="AI20" si="50">IF(ISBLANK(U20),IF(ISBLANK(AB20),"",AB20),U20+AB20)</f>
        <v>22213000</v>
      </c>
      <c r="AJ20" s="53" t="str">
        <f t="shared" ref="AJ20" si="51">IF(ISBLANK(V20),IF(ISBLANK(AC20),"",AC20),V20+AC20)</f>
        <v/>
      </c>
      <c r="AK20" s="53" t="str">
        <f t="shared" ref="AK20" si="52">IF(ISBLANK(W20),IF(ISBLANK(AD20),"",AD20),W20+AD20)</f>
        <v/>
      </c>
      <c r="AS20" s="60">
        <v>186212000</v>
      </c>
      <c r="AT20" s="65">
        <f>195307000+51595000</f>
        <v>246902000</v>
      </c>
      <c r="AU20" s="66">
        <f>194224000+59050000</f>
        <v>253274000</v>
      </c>
      <c r="AV20" s="67">
        <f>189463000+69708000</f>
        <v>259171000</v>
      </c>
      <c r="AW20">
        <v>181369000</v>
      </c>
    </row>
    <row r="21" spans="1:50">
      <c r="A21" t="s">
        <v>202</v>
      </c>
      <c r="B21" s="3" t="s">
        <v>203</v>
      </c>
      <c r="C21" t="s">
        <v>204</v>
      </c>
      <c r="D21" t="s">
        <v>61</v>
      </c>
      <c r="E21"/>
      <c r="F21" t="s">
        <v>141</v>
      </c>
      <c r="G21" s="3" t="s">
        <v>64</v>
      </c>
      <c r="H21" t="s">
        <v>65</v>
      </c>
      <c r="I21" s="4">
        <v>44196</v>
      </c>
      <c r="J21">
        <v>20967401361</v>
      </c>
      <c r="K21">
        <v>11035000000</v>
      </c>
      <c r="L21">
        <v>39958401361</v>
      </c>
      <c r="M21">
        <v>40585401361</v>
      </c>
      <c r="N21">
        <v>42301000000</v>
      </c>
      <c r="O21" s="52" t="s">
        <v>142</v>
      </c>
      <c r="P21" s="52" t="s">
        <v>143</v>
      </c>
      <c r="R21" s="60">
        <v>42354899</v>
      </c>
      <c r="S21" s="60">
        <v>32748805</v>
      </c>
      <c r="T21" s="60">
        <v>17935528</v>
      </c>
      <c r="U21" s="60">
        <v>14519279</v>
      </c>
      <c r="Y21" s="60">
        <v>18079772</v>
      </c>
      <c r="Z21" s="60">
        <v>20223892</v>
      </c>
      <c r="AA21" s="60">
        <v>31927583</v>
      </c>
      <c r="AB21" s="60">
        <v>28230946</v>
      </c>
      <c r="AE21" s="53" t="str">
        <f>IF(OR(ISBLANK(Q21), ISBLANK(X21)),"",Q21+X21)</f>
        <v/>
      </c>
      <c r="AF21" s="53">
        <f t="shared" ref="AF21" si="53">IF(ISBLANK(R21),IF(ISBLANK(Y21),"",Y21),R21+Y21)</f>
        <v>60434671</v>
      </c>
      <c r="AG21" s="53">
        <f t="shared" ref="AG21" si="54">IF(ISBLANK(S21),IF(ISBLANK(Z21),"",Z21),S21+Z21)</f>
        <v>52972697</v>
      </c>
      <c r="AH21" s="53">
        <f t="shared" ref="AH21" si="55">IF(ISBLANK(T21),IF(ISBLANK(AA21),"",AA21),T21+AA21)</f>
        <v>49863111</v>
      </c>
      <c r="AI21" s="53">
        <f t="shared" ref="AI21" si="56">IF(ISBLANK(U21),IF(ISBLANK(AB21),"",AB21),U21+AB21)</f>
        <v>42750225</v>
      </c>
      <c r="AJ21" s="53" t="str">
        <f t="shared" ref="AJ21" si="57">IF(ISBLANK(V21),IF(ISBLANK(AC21),"",AC21),V21+AC21)</f>
        <v/>
      </c>
      <c r="AK21" s="53" t="str">
        <f t="shared" ref="AK21" si="58">IF(ISBLANK(W21),IF(ISBLANK(AD21),"",AD21),W21+AD21)</f>
        <v/>
      </c>
      <c r="AT21" s="60">
        <v>116315158</v>
      </c>
      <c r="AU21" s="60">
        <v>109322672</v>
      </c>
      <c r="AV21" s="60">
        <v>65313409</v>
      </c>
      <c r="AW21" s="60">
        <v>61496572</v>
      </c>
    </row>
    <row r="22" spans="1:50">
      <c r="A22" t="s">
        <v>205</v>
      </c>
      <c r="B22" s="3" t="s">
        <v>206</v>
      </c>
      <c r="C22" t="s">
        <v>207</v>
      </c>
      <c r="D22" t="s">
        <v>148</v>
      </c>
      <c r="E22"/>
      <c r="F22" t="s">
        <v>141</v>
      </c>
      <c r="G22" s="3" t="s">
        <v>64</v>
      </c>
      <c r="H22" t="s">
        <v>65</v>
      </c>
      <c r="I22" s="4">
        <v>44196</v>
      </c>
      <c r="J22">
        <f>474900000*45</f>
        <v>21370500000</v>
      </c>
      <c r="K22">
        <v>6736467578.2073479</v>
      </c>
      <c r="L22">
        <v>1</v>
      </c>
      <c r="M22">
        <v>1</v>
      </c>
      <c r="N22">
        <v>40960299959.761497</v>
      </c>
      <c r="O22" s="52" t="s">
        <v>142</v>
      </c>
      <c r="P22" s="52" t="s">
        <v>143</v>
      </c>
      <c r="Q22">
        <v>10891000</v>
      </c>
      <c r="R22" s="60">
        <v>10010000</v>
      </c>
      <c r="S22" s="60">
        <v>10818000</v>
      </c>
      <c r="T22" s="60">
        <v>11925000</v>
      </c>
      <c r="U22" s="60">
        <v>10093000</v>
      </c>
      <c r="X22" s="60">
        <f>(191+3353)*1000</f>
        <v>3544000</v>
      </c>
      <c r="Y22" s="60">
        <f>(223+3625)*1000</f>
        <v>3848000</v>
      </c>
      <c r="Z22" s="60">
        <f>(222+2893)*1000</f>
        <v>3115000</v>
      </c>
      <c r="AA22" s="60">
        <v>2933000</v>
      </c>
      <c r="AB22" s="60">
        <v>2487000</v>
      </c>
      <c r="AE22" s="53">
        <f t="shared" ref="AE22:AK23" si="59">IF(OR(ISBLANK(Q22), ISBLANK(X22)),"",Q22+X22)</f>
        <v>14435000</v>
      </c>
      <c r="AF22" s="53">
        <f t="shared" si="59"/>
        <v>13858000</v>
      </c>
      <c r="AG22" s="53">
        <f t="shared" si="59"/>
        <v>13933000</v>
      </c>
      <c r="AH22" s="53">
        <f t="shared" si="59"/>
        <v>14858000</v>
      </c>
      <c r="AI22" s="53">
        <f t="shared" si="59"/>
        <v>12580000</v>
      </c>
      <c r="AJ22" s="53" t="str">
        <f t="shared" si="59"/>
        <v/>
      </c>
      <c r="AK22" s="53" t="str">
        <f t="shared" si="59"/>
        <v/>
      </c>
      <c r="AS22">
        <f>(15818+18480)*1000</f>
        <v>34298000</v>
      </c>
      <c r="AT22">
        <f>(15369+19785)*1000</f>
        <v>35154000</v>
      </c>
      <c r="AU22">
        <f>(18776+19163)*1000</f>
        <v>37939000</v>
      </c>
      <c r="AV22">
        <f>18976000+19244000</f>
        <v>38220000</v>
      </c>
      <c r="AW22">
        <f>17694000+18255000</f>
        <v>35949000</v>
      </c>
    </row>
    <row r="23" spans="1:50">
      <c r="A23" t="s">
        <v>208</v>
      </c>
      <c r="B23" s="3" t="s">
        <v>209</v>
      </c>
      <c r="C23" t="s">
        <v>210</v>
      </c>
      <c r="D23" t="s">
        <v>211</v>
      </c>
      <c r="E23"/>
      <c r="F23" t="s">
        <v>167</v>
      </c>
      <c r="G23" s="3" t="s">
        <v>64</v>
      </c>
      <c r="H23" t="s">
        <v>65</v>
      </c>
      <c r="I23" s="4">
        <v>44196</v>
      </c>
      <c r="J23">
        <f>571900000*16.72*0.2</f>
        <v>1912433600</v>
      </c>
      <c r="K23">
        <v>9835514922.9662342</v>
      </c>
      <c r="L23">
        <v>1</v>
      </c>
      <c r="M23">
        <v>1</v>
      </c>
      <c r="N23">
        <v>13397913513.781719</v>
      </c>
      <c r="O23" t="s">
        <v>128</v>
      </c>
      <c r="P23" t="s">
        <v>287</v>
      </c>
      <c r="Q23">
        <v>16.100000000000001</v>
      </c>
      <c r="R23">
        <v>16.100000000000001</v>
      </c>
      <c r="S23">
        <v>14.27265885416667</v>
      </c>
      <c r="T23">
        <v>11.947505</v>
      </c>
      <c r="U23">
        <v>11.738147617323991</v>
      </c>
      <c r="X23">
        <v>0</v>
      </c>
      <c r="Y23">
        <v>0</v>
      </c>
      <c r="Z23">
        <v>0</v>
      </c>
      <c r="AA23">
        <v>0</v>
      </c>
      <c r="AB23">
        <v>0</v>
      </c>
      <c r="AE23" s="53">
        <f t="shared" si="59"/>
        <v>16.100000000000001</v>
      </c>
      <c r="AF23" s="53">
        <f t="shared" si="59"/>
        <v>16.100000000000001</v>
      </c>
      <c r="AG23" s="53">
        <f t="shared" si="59"/>
        <v>14.27265885416667</v>
      </c>
      <c r="AH23" s="53">
        <f t="shared" si="59"/>
        <v>11.947505</v>
      </c>
      <c r="AI23" s="53">
        <f t="shared" si="59"/>
        <v>11.738147617323991</v>
      </c>
      <c r="AJ23" s="53" t="str">
        <f t="shared" si="59"/>
        <v/>
      </c>
      <c r="AK23" s="53" t="str">
        <f t="shared" si="59"/>
        <v/>
      </c>
      <c r="AS23">
        <v>16.100000000000001</v>
      </c>
      <c r="AT23">
        <v>16.100000000000001</v>
      </c>
      <c r="AU23">
        <v>14.27265885416667</v>
      </c>
      <c r="AV23">
        <v>12.445317708333331</v>
      </c>
      <c r="AW23">
        <v>12.63481167142513</v>
      </c>
    </row>
    <row r="24" spans="1:50">
      <c r="A24" t="s">
        <v>212</v>
      </c>
      <c r="B24" s="3" t="s">
        <v>213</v>
      </c>
      <c r="C24" t="s">
        <v>214</v>
      </c>
      <c r="D24" t="s">
        <v>61</v>
      </c>
      <c r="E24"/>
      <c r="F24" t="s">
        <v>141</v>
      </c>
      <c r="G24" s="3" t="s">
        <v>64</v>
      </c>
      <c r="H24" t="s">
        <v>65</v>
      </c>
      <c r="I24" s="4">
        <v>44196</v>
      </c>
      <c r="J24">
        <v>3937071331</v>
      </c>
      <c r="K24">
        <v>2873948000</v>
      </c>
      <c r="L24">
        <v>5704623331</v>
      </c>
      <c r="M24">
        <v>5901436331</v>
      </c>
      <c r="N24">
        <v>13745251000</v>
      </c>
      <c r="O24" s="52" t="s">
        <v>128</v>
      </c>
      <c r="P24" s="52" t="s">
        <v>286</v>
      </c>
      <c r="Q24">
        <v>3.8868941879999999</v>
      </c>
      <c r="R24">
        <v>3.8663196809999998</v>
      </c>
      <c r="S24">
        <v>3.937301664</v>
      </c>
      <c r="T24">
        <v>3.9790181429999998</v>
      </c>
      <c r="U24">
        <v>3.8259789839999998</v>
      </c>
      <c r="X24">
        <v>0</v>
      </c>
      <c r="Y24">
        <v>0</v>
      </c>
      <c r="Z24">
        <v>0</v>
      </c>
      <c r="AA24">
        <v>0</v>
      </c>
      <c r="AB24">
        <v>0</v>
      </c>
      <c r="AE24" s="53">
        <f t="shared" ref="AE24" si="60">IF(OR(ISBLANK(Q24), ISBLANK(X24)),"",Q24+X24)</f>
        <v>3.8868941879999999</v>
      </c>
      <c r="AF24" s="53">
        <f t="shared" ref="AF24" si="61">IF(OR(ISBLANK(R24), ISBLANK(Y24)),"",R24+Y24)</f>
        <v>3.8663196809999998</v>
      </c>
      <c r="AG24" s="53">
        <f t="shared" ref="AG24" si="62">IF(OR(ISBLANK(S24), ISBLANK(Z24)),"",S24+Z24)</f>
        <v>3.937301664</v>
      </c>
      <c r="AH24" s="53">
        <f t="shared" ref="AH24" si="63">IF(OR(ISBLANK(T24), ISBLANK(AA24)),"",T24+AA24)</f>
        <v>3.9790181429999998</v>
      </c>
      <c r="AI24" s="53">
        <f t="shared" ref="AI24" si="64">IF(OR(ISBLANK(U24), ISBLANK(AB24)),"",U24+AB24)</f>
        <v>3.8259789839999998</v>
      </c>
      <c r="AJ24" s="53" t="str">
        <f t="shared" ref="AJ24" si="65">IF(OR(ISBLANK(V24), ISBLANK(AC24)),"",V24+AC24)</f>
        <v/>
      </c>
      <c r="AK24" s="53" t="str">
        <f t="shared" ref="AK24" si="66">IF(OR(ISBLANK(W24), ISBLANK(AD24)),"",W24+AD24)</f>
        <v/>
      </c>
      <c r="AS24">
        <v>7.9426489999999994</v>
      </c>
      <c r="AT24">
        <v>7.8881049999999986</v>
      </c>
      <c r="AU24">
        <v>7.9569290000000006</v>
      </c>
      <c r="AV24">
        <v>7.9702040000000007</v>
      </c>
      <c r="AW24">
        <v>8.0778513040000011</v>
      </c>
    </row>
    <row r="25" spans="1:50">
      <c r="A25" t="s">
        <v>215</v>
      </c>
      <c r="B25" s="3" t="s">
        <v>216</v>
      </c>
      <c r="C25" t="s">
        <v>217</v>
      </c>
      <c r="D25" t="s">
        <v>61</v>
      </c>
      <c r="E25"/>
      <c r="F25" t="s">
        <v>141</v>
      </c>
      <c r="G25" s="3" t="s">
        <v>64</v>
      </c>
      <c r="H25" t="s">
        <v>65</v>
      </c>
      <c r="I25" s="4">
        <v>44196</v>
      </c>
      <c r="J25">
        <v>4447584104</v>
      </c>
      <c r="K25">
        <v>5336776000</v>
      </c>
      <c r="L25">
        <v>6624232104</v>
      </c>
      <c r="M25">
        <v>6690691104</v>
      </c>
      <c r="N25">
        <v>7683059000</v>
      </c>
      <c r="O25" s="52" t="s">
        <v>128</v>
      </c>
      <c r="P25" s="52" t="s">
        <v>286</v>
      </c>
      <c r="Q25">
        <v>1.8746218750000001</v>
      </c>
      <c r="R25">
        <v>1.844359927</v>
      </c>
      <c r="S25">
        <v>2.051568649</v>
      </c>
      <c r="T25">
        <v>1.710493431</v>
      </c>
      <c r="U25">
        <f>T25*2.26/2.35</f>
        <v>1.6449851719404254</v>
      </c>
      <c r="X25">
        <v>0</v>
      </c>
      <c r="Y25">
        <v>0</v>
      </c>
      <c r="Z25">
        <v>0</v>
      </c>
      <c r="AA25">
        <v>0</v>
      </c>
      <c r="AB25">
        <v>0</v>
      </c>
      <c r="AE25" s="53">
        <f t="shared" ref="AE25:AE27" si="67">IF(OR(ISBLANK(Q25), ISBLANK(X25)),"",Q25+X25)</f>
        <v>1.8746218750000001</v>
      </c>
      <c r="AF25" s="53">
        <f t="shared" ref="AF25:AF27" si="68">IF(OR(ISBLANK(R25), ISBLANK(Y25)),"",R25+Y25)</f>
        <v>1.844359927</v>
      </c>
      <c r="AG25" s="53">
        <f t="shared" ref="AG25:AG27" si="69">IF(OR(ISBLANK(S25), ISBLANK(Z25)),"",S25+Z25)</f>
        <v>2.051568649</v>
      </c>
      <c r="AH25" s="53">
        <f t="shared" ref="AH25:AH27" si="70">IF(OR(ISBLANK(T25), ISBLANK(AA25)),"",T25+AA25)</f>
        <v>1.710493431</v>
      </c>
      <c r="AI25" s="53">
        <f t="shared" ref="AI25:AI27" si="71">IF(OR(ISBLANK(U25), ISBLANK(AB25)),"",U25+AB25)</f>
        <v>1.6449851719404254</v>
      </c>
      <c r="AJ25" s="53" t="str">
        <f t="shared" ref="AJ25:AJ27" si="72">IF(OR(ISBLANK(V25), ISBLANK(AC25)),"",V25+AC25)</f>
        <v/>
      </c>
      <c r="AK25" s="53" t="str">
        <f t="shared" ref="AK25:AK27" si="73">IF(OR(ISBLANK(W25), ISBLANK(AD25)),"",W25+AD25)</f>
        <v/>
      </c>
      <c r="AS25">
        <v>3.1870937499999998</v>
      </c>
      <c r="AT25">
        <v>3.1660149999999998</v>
      </c>
      <c r="AU25">
        <v>3.3211175000000002</v>
      </c>
      <c r="AV25">
        <v>3.1475861959999998</v>
      </c>
      <c r="AW25">
        <v>3.1903747390000001</v>
      </c>
    </row>
    <row r="26" spans="1:50">
      <c r="A26" t="s">
        <v>218</v>
      </c>
      <c r="B26" s="3" t="s">
        <v>219</v>
      </c>
      <c r="C26" t="s">
        <v>220</v>
      </c>
      <c r="D26" t="s">
        <v>61</v>
      </c>
      <c r="E26"/>
      <c r="F26" t="s">
        <v>167</v>
      </c>
      <c r="G26" s="3" t="s">
        <v>64</v>
      </c>
      <c r="H26" t="s">
        <v>65</v>
      </c>
      <c r="I26" s="4">
        <v>44196</v>
      </c>
      <c r="J26">
        <v>12430000000</v>
      </c>
      <c r="K26">
        <v>22588858000</v>
      </c>
      <c r="L26">
        <v>15186696000</v>
      </c>
      <c r="M26">
        <v>16721301000</v>
      </c>
      <c r="N26">
        <v>18344666000</v>
      </c>
      <c r="O26" t="s">
        <v>128</v>
      </c>
      <c r="P26" t="s">
        <v>287</v>
      </c>
      <c r="Q26">
        <v>12.356382978723399</v>
      </c>
      <c r="R26">
        <v>11.819148936170221</v>
      </c>
      <c r="S26">
        <v>11.281914893617021</v>
      </c>
      <c r="T26">
        <v>10.1</v>
      </c>
      <c r="U26">
        <v>10.1</v>
      </c>
      <c r="X26">
        <v>0</v>
      </c>
      <c r="Y26">
        <v>0</v>
      </c>
      <c r="Z26">
        <v>0</v>
      </c>
      <c r="AA26">
        <v>0</v>
      </c>
      <c r="AB26">
        <v>0</v>
      </c>
      <c r="AE26" s="53">
        <f t="shared" si="67"/>
        <v>12.356382978723399</v>
      </c>
      <c r="AF26" s="53">
        <f t="shared" si="68"/>
        <v>11.819148936170221</v>
      </c>
      <c r="AG26" s="53">
        <f t="shared" si="69"/>
        <v>11.281914893617021</v>
      </c>
      <c r="AH26" s="53">
        <f t="shared" si="70"/>
        <v>10.1</v>
      </c>
      <c r="AI26" s="53">
        <f t="shared" si="71"/>
        <v>10.1</v>
      </c>
      <c r="AJ26" s="53" t="str">
        <f t="shared" si="72"/>
        <v/>
      </c>
      <c r="AK26" s="53" t="str">
        <f t="shared" si="73"/>
        <v/>
      </c>
      <c r="AS26">
        <v>21.48936170212766</v>
      </c>
      <c r="AT26">
        <v>21.48936170212766</v>
      </c>
      <c r="AU26">
        <v>21.48936170212766</v>
      </c>
      <c r="AV26">
        <v>21.48936170212766</v>
      </c>
      <c r="AW26">
        <v>21.48936170212766</v>
      </c>
    </row>
    <row r="27" spans="1:50">
      <c r="A27" t="s">
        <v>221</v>
      </c>
      <c r="B27" s="3" t="s">
        <v>222</v>
      </c>
      <c r="C27" t="s">
        <v>223</v>
      </c>
      <c r="D27" t="s">
        <v>224</v>
      </c>
      <c r="E27"/>
      <c r="F27" t="s">
        <v>141</v>
      </c>
      <c r="G27" s="3" t="s">
        <v>64</v>
      </c>
      <c r="H27" t="s">
        <v>65</v>
      </c>
      <c r="I27" s="4">
        <v>44196</v>
      </c>
      <c r="J27">
        <v>44164533765.359467</v>
      </c>
      <c r="K27">
        <v>19393506493.506489</v>
      </c>
      <c r="L27">
        <v>1</v>
      </c>
      <c r="M27">
        <v>1</v>
      </c>
      <c r="N27">
        <v>81770129870.129868</v>
      </c>
      <c r="O27" s="52" t="s">
        <v>128</v>
      </c>
      <c r="P27" s="52" t="s">
        <v>286</v>
      </c>
      <c r="Q27">
        <v>3.004725724</v>
      </c>
      <c r="R27">
        <v>2.1325357700000001</v>
      </c>
      <c r="S27">
        <v>3.0720788620000001</v>
      </c>
      <c r="T27">
        <v>2.4277569909999999</v>
      </c>
      <c r="U27">
        <v>1.335266345</v>
      </c>
      <c r="X27">
        <v>0</v>
      </c>
      <c r="Y27">
        <v>0</v>
      </c>
      <c r="Z27">
        <v>0</v>
      </c>
      <c r="AA27">
        <v>0</v>
      </c>
      <c r="AB27">
        <v>0</v>
      </c>
      <c r="AE27" s="53">
        <f t="shared" si="67"/>
        <v>3.004725724</v>
      </c>
      <c r="AF27" s="53">
        <f t="shared" si="68"/>
        <v>2.1325357700000001</v>
      </c>
      <c r="AG27" s="53">
        <f t="shared" si="69"/>
        <v>3.0720788620000001</v>
      </c>
      <c r="AH27" s="53">
        <f t="shared" si="70"/>
        <v>2.4277569909999999</v>
      </c>
      <c r="AI27" s="53">
        <f t="shared" si="71"/>
        <v>1.335266345</v>
      </c>
      <c r="AJ27" s="53" t="str">
        <f t="shared" si="72"/>
        <v/>
      </c>
      <c r="AK27" s="53" t="str">
        <f t="shared" si="73"/>
        <v/>
      </c>
      <c r="AS27">
        <v>4.836665</v>
      </c>
      <c r="AT27">
        <v>3.3607879999999999</v>
      </c>
      <c r="AU27">
        <v>4.6763309999999993</v>
      </c>
      <c r="AV27">
        <v>3.8903590000000001</v>
      </c>
      <c r="AW27">
        <v>3.5954304822953862</v>
      </c>
    </row>
    <row r="28" spans="1:50">
      <c r="A28" t="s">
        <v>226</v>
      </c>
      <c r="B28" s="3" t="s">
        <v>227</v>
      </c>
      <c r="C28" t="s">
        <v>228</v>
      </c>
      <c r="D28" t="s">
        <v>61</v>
      </c>
      <c r="E28"/>
      <c r="F28" t="s">
        <v>141</v>
      </c>
      <c r="G28" s="3" t="s">
        <v>64</v>
      </c>
      <c r="H28" t="s">
        <v>65</v>
      </c>
      <c r="I28" s="4">
        <v>44196</v>
      </c>
      <c r="J28">
        <v>2757293172</v>
      </c>
      <c r="K28">
        <v>1257910000</v>
      </c>
      <c r="L28">
        <v>5168962172</v>
      </c>
      <c r="M28">
        <v>5174107172</v>
      </c>
      <c r="N28">
        <v>6083486000</v>
      </c>
      <c r="O28" s="52" t="s">
        <v>128</v>
      </c>
      <c r="P28" s="52" t="s">
        <v>286</v>
      </c>
      <c r="Q28">
        <v>0.99625009600000003</v>
      </c>
      <c r="R28">
        <v>0.98354598199999999</v>
      </c>
      <c r="S28">
        <v>2.6019487300000002</v>
      </c>
      <c r="T28">
        <v>2.5352979329999998</v>
      </c>
      <c r="U28">
        <v>1.926808946</v>
      </c>
      <c r="X28">
        <v>0</v>
      </c>
      <c r="Y28">
        <v>0</v>
      </c>
      <c r="Z28">
        <v>0</v>
      </c>
      <c r="AA28">
        <v>0</v>
      </c>
      <c r="AB28">
        <v>0</v>
      </c>
      <c r="AE28" s="53">
        <f t="shared" ref="AE28" si="74">IF(OR(ISBLANK(Q28), ISBLANK(X28)),"",Q28+X28)</f>
        <v>0.99625009600000003</v>
      </c>
      <c r="AF28" s="53">
        <f t="shared" ref="AF28" si="75">IF(OR(ISBLANK(R28), ISBLANK(Y28)),"",R28+Y28)</f>
        <v>0.98354598199999999</v>
      </c>
      <c r="AG28" s="53">
        <f t="shared" ref="AG28" si="76">IF(OR(ISBLANK(S28), ISBLANK(Z28)),"",S28+Z28)</f>
        <v>2.6019487300000002</v>
      </c>
      <c r="AH28" s="53">
        <f t="shared" ref="AH28" si="77">IF(OR(ISBLANK(T28), ISBLANK(AA28)),"",T28+AA28)</f>
        <v>2.5352979329999998</v>
      </c>
      <c r="AI28" s="53">
        <f t="shared" ref="AI28" si="78">IF(OR(ISBLANK(U28), ISBLANK(AB28)),"",U28+AB28)</f>
        <v>1.926808946</v>
      </c>
      <c r="AJ28" s="53" t="str">
        <f t="shared" ref="AJ28" si="79">IF(OR(ISBLANK(V28), ISBLANK(AC28)),"",V28+AC28)</f>
        <v/>
      </c>
      <c r="AK28" s="53" t="str">
        <f t="shared" ref="AK28" si="80">IF(OR(ISBLANK(W28), ISBLANK(AD28)),"",W28+AD28)</f>
        <v/>
      </c>
      <c r="AS28">
        <v>4.7997215119999996</v>
      </c>
      <c r="AT28">
        <v>4.9700274919999998</v>
      </c>
      <c r="AU28">
        <v>6.6756619089999996</v>
      </c>
      <c r="AV28">
        <v>6.6434140810000004</v>
      </c>
      <c r="AW28">
        <v>6.6580600460000001</v>
      </c>
    </row>
    <row r="29" spans="1:50">
      <c r="A29" t="s">
        <v>229</v>
      </c>
      <c r="B29" s="3" t="s">
        <v>230</v>
      </c>
      <c r="C29" t="s">
        <v>231</v>
      </c>
      <c r="D29" t="s">
        <v>61</v>
      </c>
      <c r="E29"/>
      <c r="F29" t="s">
        <v>141</v>
      </c>
      <c r="G29" s="3" t="s">
        <v>64</v>
      </c>
      <c r="H29" t="s">
        <v>65</v>
      </c>
      <c r="I29" s="4">
        <v>44196</v>
      </c>
      <c r="J29">
        <v>6077156282</v>
      </c>
      <c r="K29">
        <v>2231600000</v>
      </c>
      <c r="L29">
        <v>1</v>
      </c>
      <c r="M29">
        <v>1</v>
      </c>
      <c r="N29">
        <v>11024300000</v>
      </c>
      <c r="O29" s="52" t="s">
        <v>142</v>
      </c>
      <c r="P29" s="52" t="s">
        <v>143</v>
      </c>
      <c r="Q29" s="60">
        <v>26596742</v>
      </c>
      <c r="R29" s="60">
        <v>29995758</v>
      </c>
      <c r="S29" s="60">
        <v>29344948</v>
      </c>
      <c r="T29" s="60">
        <v>24205850</v>
      </c>
      <c r="U29" s="60">
        <v>25759240</v>
      </c>
      <c r="X29" s="60">
        <v>6570582</v>
      </c>
      <c r="Y29" s="60">
        <v>6366492</v>
      </c>
      <c r="Z29" s="60">
        <v>6552023</v>
      </c>
      <c r="AA29" s="60">
        <v>6121318</v>
      </c>
      <c r="AB29" s="60">
        <v>6063090</v>
      </c>
      <c r="AE29" s="53">
        <f t="shared" ref="AE29:AE31" si="81">IF(OR(ISBLANK(Q29), ISBLANK(X29)),"",Q29+X29)</f>
        <v>33167324</v>
      </c>
      <c r="AF29" s="53">
        <f t="shared" ref="AF29:AF30" si="82">IF(OR(ISBLANK(R29), ISBLANK(Y29)),"",R29+Y29)</f>
        <v>36362250</v>
      </c>
      <c r="AG29" s="53">
        <f t="shared" ref="AG29:AG30" si="83">IF(OR(ISBLANK(S29), ISBLANK(Z29)),"",S29+Z29)</f>
        <v>35896971</v>
      </c>
      <c r="AH29" s="53">
        <f t="shared" ref="AH29:AH30" si="84">IF(OR(ISBLANK(T29), ISBLANK(AA29)),"",T29+AA29)</f>
        <v>30327168</v>
      </c>
      <c r="AI29" s="53">
        <f t="shared" ref="AI29:AI30" si="85">IF(OR(ISBLANK(U29), ISBLANK(AB29)),"",U29+AB29)</f>
        <v>31822330</v>
      </c>
      <c r="AJ29" s="53" t="str">
        <f t="shared" ref="AJ29:AJ30" si="86">IF(OR(ISBLANK(V29), ISBLANK(AC29)),"",V29+AC29)</f>
        <v/>
      </c>
      <c r="AK29" s="53" t="str">
        <f t="shared" ref="AK29:AK30" si="87">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t="s">
        <v>232</v>
      </c>
      <c r="B30" s="3" t="s">
        <v>233</v>
      </c>
      <c r="C30" t="s">
        <v>234</v>
      </c>
      <c r="D30" t="s">
        <v>61</v>
      </c>
      <c r="E30"/>
      <c r="F30" t="s">
        <v>141</v>
      </c>
      <c r="G30" s="3" t="s">
        <v>64</v>
      </c>
      <c r="H30" t="s">
        <v>65</v>
      </c>
      <c r="I30" s="4">
        <v>44196</v>
      </c>
      <c r="J30">
        <v>12130000000</v>
      </c>
      <c r="K30">
        <v>17129000000</v>
      </c>
      <c r="L30">
        <v>12290000000</v>
      </c>
      <c r="M30">
        <v>13860000000</v>
      </c>
      <c r="N30">
        <v>85196000000</v>
      </c>
      <c r="O30" s="52" t="s">
        <v>128</v>
      </c>
      <c r="P30" s="52" t="s">
        <v>286</v>
      </c>
      <c r="Q30">
        <v>2.2165439930000002</v>
      </c>
      <c r="R30">
        <v>2.2511915660000001</v>
      </c>
      <c r="S30">
        <v>2.4511497719999999</v>
      </c>
      <c r="T30">
        <v>2.4417731950000001</v>
      </c>
      <c r="U30">
        <v>2.3478588409999999</v>
      </c>
      <c r="X30">
        <v>0</v>
      </c>
      <c r="Y30">
        <v>0</v>
      </c>
      <c r="Z30">
        <v>0</v>
      </c>
      <c r="AA30">
        <v>0</v>
      </c>
      <c r="AB30">
        <v>0</v>
      </c>
      <c r="AE30" s="53">
        <f t="shared" si="81"/>
        <v>2.2165439930000002</v>
      </c>
      <c r="AF30" s="53">
        <f t="shared" si="82"/>
        <v>2.2511915660000001</v>
      </c>
      <c r="AG30" s="53">
        <f t="shared" si="83"/>
        <v>2.4511497719999999</v>
      </c>
      <c r="AH30" s="53">
        <f t="shared" si="84"/>
        <v>2.4417731950000001</v>
      </c>
      <c r="AI30" s="53">
        <f t="shared" si="85"/>
        <v>2.3478588409999999</v>
      </c>
      <c r="AJ30" s="53" t="str">
        <f t="shared" si="86"/>
        <v/>
      </c>
      <c r="AK30" s="53" t="str">
        <f t="shared" si="87"/>
        <v/>
      </c>
      <c r="AS30">
        <v>54.725702269999999</v>
      </c>
      <c r="AT30">
        <v>59.565347350000003</v>
      </c>
      <c r="AU30">
        <v>58.737818599999997</v>
      </c>
      <c r="AV30">
        <v>61.272956659999998</v>
      </c>
      <c r="AW30">
        <v>56.627847485470653</v>
      </c>
    </row>
    <row r="31" spans="1:50">
      <c r="A31" t="s">
        <v>235</v>
      </c>
      <c r="B31" s="3" t="s">
        <v>236</v>
      </c>
      <c r="C31" t="s">
        <v>237</v>
      </c>
      <c r="D31" t="s">
        <v>61</v>
      </c>
      <c r="E31"/>
      <c r="F31" t="s">
        <v>141</v>
      </c>
      <c r="G31" s="3" t="s">
        <v>64</v>
      </c>
      <c r="H31" t="s">
        <v>65</v>
      </c>
      <c r="I31" s="4">
        <v>44196</v>
      </c>
      <c r="J31">
        <v>3061885307</v>
      </c>
      <c r="K31">
        <v>1457603000</v>
      </c>
      <c r="L31">
        <v>5575501307</v>
      </c>
      <c r="M31">
        <v>5579334307</v>
      </c>
      <c r="N31">
        <v>7298774000</v>
      </c>
      <c r="O31" s="52" t="s">
        <v>128</v>
      </c>
      <c r="P31" s="52" t="s">
        <v>286</v>
      </c>
      <c r="Q31">
        <v>6.3372507860000002</v>
      </c>
      <c r="R31">
        <v>6.1180013459999998</v>
      </c>
      <c r="S31">
        <v>5.2178957580000001</v>
      </c>
      <c r="T31">
        <v>5.3678279890000002</v>
      </c>
      <c r="U31">
        <v>5.0787910969999999</v>
      </c>
      <c r="X31">
        <v>0</v>
      </c>
      <c r="Y31">
        <v>0</v>
      </c>
      <c r="Z31">
        <v>0</v>
      </c>
      <c r="AA31">
        <v>0</v>
      </c>
      <c r="AB31">
        <v>0</v>
      </c>
      <c r="AE31" s="53">
        <f t="shared" si="81"/>
        <v>6.3372507860000002</v>
      </c>
      <c r="AF31" s="53">
        <f t="shared" ref="AF31" si="88">IF(ISBLANK(R31),IF(ISBLANK(Y31),"",Y31),R31+Y31)</f>
        <v>6.1180013459999998</v>
      </c>
      <c r="AG31" s="53">
        <f t="shared" ref="AG31" si="89">IF(ISBLANK(S31),IF(ISBLANK(Z31),"",Z31),S31+Z31)</f>
        <v>5.2178957580000001</v>
      </c>
      <c r="AH31" s="53">
        <f t="shared" ref="AH31" si="90">IF(ISBLANK(T31),IF(ISBLANK(AA31),"",AA31),T31+AA31)</f>
        <v>5.3678279890000002</v>
      </c>
      <c r="AI31" s="53">
        <f t="shared" ref="AI31" si="91">IF(ISBLANK(U31),IF(ISBLANK(AB31),"",AB31),U31+AB31)</f>
        <v>5.0787910969999999</v>
      </c>
      <c r="AJ31" s="53" t="str">
        <f t="shared" ref="AJ31" si="92">IF(ISBLANK(V31),IF(ISBLANK(AC31),"",AC31),V31+AC31)</f>
        <v/>
      </c>
      <c r="AK31" s="53" t="str">
        <f t="shared" ref="AK31" si="93">IF(ISBLANK(W31),IF(ISBLANK(AD31),"",AD31),W31+AD31)</f>
        <v/>
      </c>
      <c r="AS31">
        <v>11.83516337</v>
      </c>
      <c r="AT31">
        <v>11.48871044</v>
      </c>
      <c r="AU31">
        <v>11.056603620000001</v>
      </c>
      <c r="AV31">
        <v>11.740323849999999</v>
      </c>
      <c r="AW31">
        <v>11.772702450000001</v>
      </c>
    </row>
    <row r="32" spans="1:50">
      <c r="A32" t="s">
        <v>238</v>
      </c>
      <c r="B32" s="3" t="s">
        <v>239</v>
      </c>
      <c r="C32" t="s">
        <v>240</v>
      </c>
      <c r="D32" t="s">
        <v>241</v>
      </c>
      <c r="E32"/>
      <c r="F32" t="s">
        <v>167</v>
      </c>
      <c r="G32" s="3" t="s">
        <v>64</v>
      </c>
      <c r="H32" t="s">
        <v>65</v>
      </c>
      <c r="I32" s="4">
        <v>44196</v>
      </c>
      <c r="J32">
        <v>20260000000</v>
      </c>
      <c r="K32">
        <v>55955872344.100883</v>
      </c>
      <c r="L32">
        <v>1</v>
      </c>
      <c r="M32">
        <v>1</v>
      </c>
      <c r="N32">
        <v>68553124892.036621</v>
      </c>
      <c r="O32" t="s">
        <v>128</v>
      </c>
      <c r="P32" t="s">
        <v>287</v>
      </c>
      <c r="R32">
        <v>78.8</v>
      </c>
      <c r="S32">
        <v>78.8</v>
      </c>
      <c r="T32">
        <v>78.8</v>
      </c>
      <c r="U32">
        <v>68.873999999999995</v>
      </c>
      <c r="X32">
        <v>0</v>
      </c>
      <c r="Y32">
        <v>0</v>
      </c>
      <c r="Z32">
        <v>0</v>
      </c>
      <c r="AA32">
        <v>0</v>
      </c>
      <c r="AB32">
        <v>0</v>
      </c>
      <c r="AE32" s="53" t="str">
        <f t="shared" ref="AE32" si="94">IF(OR(ISBLANK(Q32), ISBLANK(X32)),"",Q32+X32)</f>
        <v/>
      </c>
      <c r="AF32" s="53">
        <f t="shared" ref="AF32" si="95">IF(OR(ISBLANK(R32), ISBLANK(Y32)),"",R32+Y32)</f>
        <v>78.8</v>
      </c>
      <c r="AG32" s="53">
        <f t="shared" ref="AG32" si="96">IF(OR(ISBLANK(S32), ISBLANK(Z32)),"",S32+Z32)</f>
        <v>78.8</v>
      </c>
      <c r="AH32" s="53">
        <f t="shared" ref="AH32" si="97">IF(OR(ISBLANK(T32), ISBLANK(AA32)),"",T32+AA32)</f>
        <v>78.8</v>
      </c>
      <c r="AI32" s="53">
        <f t="shared" ref="AI32" si="98">IF(OR(ISBLANK(U32), ISBLANK(AB32)),"",U32+AB32)</f>
        <v>68.873999999999995</v>
      </c>
      <c r="AJ32" s="53" t="str">
        <f t="shared" ref="AJ32" si="99">IF(OR(ISBLANK(V32), ISBLANK(AC32)),"",V32+AC32)</f>
        <v/>
      </c>
      <c r="AK32" s="53" t="str">
        <f t="shared" ref="AK32" si="100">IF(OR(ISBLANK(W32), ISBLANK(AD32)),"",W32+AD32)</f>
        <v/>
      </c>
      <c r="AT32">
        <v>35.991</v>
      </c>
      <c r="AU32">
        <v>35.991</v>
      </c>
      <c r="AV32">
        <v>35.898000000000003</v>
      </c>
      <c r="AW32">
        <v>34.436999999999998</v>
      </c>
    </row>
    <row r="33" spans="1:49">
      <c r="A33" t="s">
        <v>242</v>
      </c>
      <c r="B33" s="3" t="s">
        <v>243</v>
      </c>
      <c r="C33" t="s">
        <v>244</v>
      </c>
      <c r="D33" t="s">
        <v>61</v>
      </c>
      <c r="E33"/>
      <c r="F33" t="s">
        <v>141</v>
      </c>
      <c r="G33" s="3" t="s">
        <v>64</v>
      </c>
      <c r="H33" t="s">
        <v>65</v>
      </c>
      <c r="I33" s="4">
        <v>44196</v>
      </c>
      <c r="J33">
        <v>19865342074</v>
      </c>
      <c r="K33">
        <v>7769000000</v>
      </c>
      <c r="L33">
        <v>40943342074</v>
      </c>
      <c r="M33">
        <v>41758342074</v>
      </c>
      <c r="N33">
        <v>45680000000</v>
      </c>
      <c r="O33" t="s">
        <v>128</v>
      </c>
      <c r="P33" t="s">
        <v>286</v>
      </c>
      <c r="AE33" s="53">
        <v>30.088487220000001</v>
      </c>
      <c r="AF33" s="53">
        <v>30.24837145</v>
      </c>
      <c r="AG33" s="53">
        <v>31.611469039999999</v>
      </c>
      <c r="AH33" s="53">
        <v>28.778915319999999</v>
      </c>
      <c r="AI33" s="53">
        <v>28.07780713</v>
      </c>
      <c r="AS33">
        <v>38.355258640000002</v>
      </c>
      <c r="AT33">
        <v>37.442832350000003</v>
      </c>
      <c r="AU33">
        <v>39.590075179999999</v>
      </c>
      <c r="AV33">
        <v>35.152931719999998</v>
      </c>
      <c r="AW33">
        <v>32.487984334642732</v>
      </c>
    </row>
    <row r="34" spans="1:49">
      <c r="A34" t="s">
        <v>245</v>
      </c>
      <c r="B34" s="3" t="s">
        <v>246</v>
      </c>
      <c r="C34" t="s">
        <v>247</v>
      </c>
      <c r="D34" t="s">
        <v>61</v>
      </c>
      <c r="E34" t="s">
        <v>62</v>
      </c>
      <c r="F34" t="s">
        <v>141</v>
      </c>
      <c r="G34" s="3" t="s">
        <v>64</v>
      </c>
      <c r="H34" t="s">
        <v>65</v>
      </c>
      <c r="I34" s="4">
        <v>44196</v>
      </c>
      <c r="J34">
        <v>8231813171</v>
      </c>
      <c r="K34">
        <v>3471209000</v>
      </c>
      <c r="L34">
        <v>14415922171</v>
      </c>
      <c r="M34">
        <v>14426205171</v>
      </c>
      <c r="N34">
        <v>18479247000</v>
      </c>
      <c r="O34" t="s">
        <v>128</v>
      </c>
      <c r="P34" t="s">
        <v>286</v>
      </c>
      <c r="AE34" s="53">
        <v>10.12642009</v>
      </c>
      <c r="AF34" s="53">
        <v>11.12039266</v>
      </c>
      <c r="AG34" s="53">
        <v>11.187042509999999</v>
      </c>
      <c r="AH34" s="53">
        <v>10.54957153</v>
      </c>
      <c r="AI34" s="53">
        <v>10.20926277</v>
      </c>
      <c r="AS34">
        <v>30.337969149999999</v>
      </c>
      <c r="AT34">
        <v>31.51282149</v>
      </c>
      <c r="AU34">
        <v>31.46022512</v>
      </c>
      <c r="AV34">
        <v>32.008271950000001</v>
      </c>
      <c r="AW34">
        <v>32.937665989999999</v>
      </c>
    </row>
    <row r="35" spans="1:49">
      <c r="A35" t="s">
        <v>248</v>
      </c>
      <c r="B35" s="3" t="s">
        <v>249</v>
      </c>
      <c r="C35" t="s">
        <v>250</v>
      </c>
      <c r="D35" t="s">
        <v>61</v>
      </c>
      <c r="E35" t="s">
        <v>62</v>
      </c>
      <c r="F35" t="s">
        <v>141</v>
      </c>
      <c r="G35" s="3" t="s">
        <v>64</v>
      </c>
      <c r="H35" t="s">
        <v>65</v>
      </c>
      <c r="I35" s="4">
        <v>44196</v>
      </c>
      <c r="J35">
        <v>3725882304</v>
      </c>
      <c r="K35">
        <v>2123000000</v>
      </c>
      <c r="L35">
        <v>1</v>
      </c>
      <c r="M35">
        <v>1</v>
      </c>
      <c r="N35">
        <v>8394000000</v>
      </c>
      <c r="O35" t="s">
        <v>128</v>
      </c>
      <c r="P35" t="s">
        <v>286</v>
      </c>
      <c r="AE35" s="53">
        <v>5.9896601059999997</v>
      </c>
      <c r="AF35" s="53">
        <v>5.9839268729999997</v>
      </c>
      <c r="AG35" s="53">
        <v>6.0355401320000004</v>
      </c>
      <c r="AH35" s="53">
        <v>7.6219275870000001</v>
      </c>
      <c r="AI35" s="53">
        <v>7.0609671650000001</v>
      </c>
      <c r="AS35">
        <v>14.03887716</v>
      </c>
      <c r="AT35">
        <v>14.15813406</v>
      </c>
      <c r="AU35">
        <v>14.925387110000001</v>
      </c>
      <c r="AV35">
        <v>16.800690790000001</v>
      </c>
      <c r="AW35">
        <v>16.963449130000001</v>
      </c>
    </row>
    <row r="36" spans="1:49">
      <c r="A36" t="s">
        <v>251</v>
      </c>
      <c r="B36" s="3" t="s">
        <v>252</v>
      </c>
      <c r="C36" t="s">
        <v>253</v>
      </c>
      <c r="D36" t="s">
        <v>61</v>
      </c>
      <c r="E36" t="s">
        <v>62</v>
      </c>
      <c r="F36" t="s">
        <v>141</v>
      </c>
      <c r="G36" s="3" t="s">
        <v>64</v>
      </c>
      <c r="H36" t="s">
        <v>65</v>
      </c>
      <c r="I36" s="4">
        <v>44196</v>
      </c>
      <c r="J36">
        <v>24648067675</v>
      </c>
      <c r="K36">
        <v>10076000000</v>
      </c>
      <c r="L36">
        <v>41224067675</v>
      </c>
      <c r="M36">
        <v>41371067675</v>
      </c>
      <c r="N36">
        <v>47730000000</v>
      </c>
      <c r="O36" t="s">
        <v>128</v>
      </c>
      <c r="P36" t="s">
        <v>286</v>
      </c>
      <c r="AE36" s="53">
        <v>11.512385626</v>
      </c>
      <c r="AF36" s="53">
        <v>10.497904363</v>
      </c>
      <c r="AG36" s="53">
        <v>11.887135768</v>
      </c>
      <c r="AH36" s="53">
        <v>11.572505309</v>
      </c>
      <c r="AI36" s="53">
        <v>0</v>
      </c>
      <c r="AS36">
        <v>53.073391780000001</v>
      </c>
      <c r="AT36">
        <v>52.677105660000002</v>
      </c>
      <c r="AU36">
        <v>55.323284050000012</v>
      </c>
      <c r="AV36">
        <v>54.987423449999987</v>
      </c>
      <c r="AW36">
        <v>50.81882119748181</v>
      </c>
    </row>
    <row r="37" spans="1:49">
      <c r="A37" t="s">
        <v>257</v>
      </c>
      <c r="B37" s="3" t="s">
        <v>258</v>
      </c>
      <c r="C37" t="s">
        <v>259</v>
      </c>
      <c r="D37" t="s">
        <v>61</v>
      </c>
      <c r="E37" t="s">
        <v>62</v>
      </c>
      <c r="F37" t="s">
        <v>141</v>
      </c>
      <c r="G37" s="3" t="s">
        <v>64</v>
      </c>
      <c r="H37" t="s">
        <v>65</v>
      </c>
      <c r="I37" s="4">
        <v>44196</v>
      </c>
      <c r="J37">
        <v>34300000000</v>
      </c>
      <c r="K37">
        <v>10829000000</v>
      </c>
      <c r="L37">
        <v>54977000000</v>
      </c>
      <c r="M37">
        <v>55085000000</v>
      </c>
      <c r="N37">
        <v>65665000000</v>
      </c>
      <c r="O37" t="s">
        <v>128</v>
      </c>
      <c r="P37" t="s">
        <v>286</v>
      </c>
      <c r="AE37" s="53">
        <v>0.93325630999999998</v>
      </c>
      <c r="AF37" s="53">
        <v>1.0145733539999999</v>
      </c>
      <c r="AG37" s="53">
        <v>0.78712423499999995</v>
      </c>
      <c r="AH37" s="53">
        <v>0.49535753599999999</v>
      </c>
      <c r="AI37" s="53">
        <v>0.476305323</v>
      </c>
      <c r="AS37">
        <v>7.0559976339999997</v>
      </c>
      <c r="AT37">
        <v>7.7571735559999997</v>
      </c>
      <c r="AU37">
        <v>7.5840753850000002</v>
      </c>
      <c r="AV37">
        <v>7.0361163089999996</v>
      </c>
      <c r="AW37">
        <v>6.5027076047105936</v>
      </c>
    </row>
    <row r="38" spans="1:49">
      <c r="A38" t="s">
        <v>260</v>
      </c>
      <c r="B38" s="3" t="s">
        <v>261</v>
      </c>
      <c r="C38" t="s">
        <v>262</v>
      </c>
      <c r="D38" t="s">
        <v>61</v>
      </c>
      <c r="E38" t="s">
        <v>62</v>
      </c>
      <c r="F38" t="s">
        <v>141</v>
      </c>
      <c r="G38" s="3" t="s">
        <v>64</v>
      </c>
      <c r="H38" t="s">
        <v>65</v>
      </c>
      <c r="I38" s="4">
        <v>44196</v>
      </c>
      <c r="J38">
        <v>54800000000</v>
      </c>
      <c r="K38">
        <v>22596000000</v>
      </c>
      <c r="L38">
        <v>94623000000</v>
      </c>
      <c r="M38">
        <v>96598000000</v>
      </c>
      <c r="N38">
        <v>118700000000</v>
      </c>
      <c r="O38" t="s">
        <v>128</v>
      </c>
      <c r="P38" t="s">
        <v>286</v>
      </c>
      <c r="AE38" s="53">
        <v>76.819825894000004</v>
      </c>
      <c r="AF38" s="53">
        <v>68.689750579000005</v>
      </c>
      <c r="AG38" s="53">
        <v>70.065115272</v>
      </c>
      <c r="AH38" s="53">
        <v>63.436548403000003</v>
      </c>
      <c r="AI38" s="53">
        <v>63.538943889999999</v>
      </c>
      <c r="AS38">
        <v>147.55628282000001</v>
      </c>
      <c r="AT38">
        <v>144.79387678000001</v>
      </c>
      <c r="AU38">
        <v>149.25604005</v>
      </c>
      <c r="AV38">
        <v>145.52973376</v>
      </c>
      <c r="AW38">
        <v>134.49710960891679</v>
      </c>
    </row>
    <row r="39" spans="1:49">
      <c r="A39" t="s">
        <v>254</v>
      </c>
      <c r="B39" s="3" t="s">
        <v>255</v>
      </c>
      <c r="C39" t="s">
        <v>256</v>
      </c>
      <c r="D39" t="s">
        <v>61</v>
      </c>
      <c r="E39" t="s">
        <v>62</v>
      </c>
      <c r="F39" t="s">
        <v>167</v>
      </c>
      <c r="G39" s="3" t="s">
        <v>64</v>
      </c>
      <c r="H39" t="s">
        <v>65</v>
      </c>
      <c r="I39" s="4">
        <v>44196</v>
      </c>
      <c r="J39">
        <v>4100000000</v>
      </c>
      <c r="K39">
        <v>10464991000</v>
      </c>
      <c r="L39">
        <v>5452884000</v>
      </c>
      <c r="M39">
        <v>6834344000</v>
      </c>
      <c r="N39">
        <v>8275765000</v>
      </c>
      <c r="O39" t="s">
        <v>128</v>
      </c>
      <c r="P39" t="s">
        <v>287</v>
      </c>
      <c r="AE39" s="53">
        <v>4.9161869999999999</v>
      </c>
      <c r="AF39" s="53">
        <v>4.9161869999999999</v>
      </c>
      <c r="AG39" s="53">
        <v>5.162928</v>
      </c>
      <c r="AH39" s="53">
        <v>4.8897659999999998</v>
      </c>
      <c r="AI39" s="53">
        <v>4.8618244799999983</v>
      </c>
      <c r="AS39">
        <v>9.4542057692307679</v>
      </c>
      <c r="AT39">
        <v>9.4542057692307679</v>
      </c>
      <c r="AU39">
        <v>9.7413735849056593</v>
      </c>
      <c r="AV39">
        <v>9.9791142857142852</v>
      </c>
      <c r="AW39">
        <v>10.128800999999999</v>
      </c>
    </row>
    <row r="40" spans="1:49">
      <c r="A40" t="s">
        <v>263</v>
      </c>
      <c r="B40" s="3" t="s">
        <v>264</v>
      </c>
      <c r="C40" t="s">
        <v>265</v>
      </c>
      <c r="D40" t="s">
        <v>148</v>
      </c>
      <c r="E40" t="s">
        <v>62</v>
      </c>
      <c r="F40" t="s">
        <v>141</v>
      </c>
      <c r="G40" s="3" t="s">
        <v>64</v>
      </c>
      <c r="H40" t="s">
        <v>65</v>
      </c>
      <c r="I40" s="4">
        <v>44196</v>
      </c>
      <c r="K40">
        <v>10166444011.05982</v>
      </c>
      <c r="L40">
        <v>1</v>
      </c>
      <c r="M40">
        <v>1</v>
      </c>
      <c r="N40">
        <v>76145937002.942871</v>
      </c>
      <c r="O40" t="s">
        <v>128</v>
      </c>
      <c r="P40" t="s">
        <v>286</v>
      </c>
      <c r="AE40" s="53">
        <v>0.37608664600000002</v>
      </c>
      <c r="AF40" s="53">
        <v>0.47113547300000003</v>
      </c>
      <c r="AG40" s="53">
        <v>0.71664363799999997</v>
      </c>
      <c r="AH40" s="53">
        <v>0.58371024299999996</v>
      </c>
      <c r="AI40" s="53">
        <v>0</v>
      </c>
      <c r="AS40">
        <v>0.77214899999999997</v>
      </c>
      <c r="AT40">
        <v>1.0567139999999999</v>
      </c>
      <c r="AU40">
        <v>1.51502</v>
      </c>
      <c r="AV40">
        <v>1.2483029999999999</v>
      </c>
      <c r="AW40">
        <v>1.153669020607295</v>
      </c>
    </row>
    <row r="41" spans="1:49">
      <c r="A41" t="s">
        <v>266</v>
      </c>
      <c r="B41" s="3" t="s">
        <v>267</v>
      </c>
      <c r="C41" t="s">
        <v>268</v>
      </c>
      <c r="D41" t="s">
        <v>269</v>
      </c>
      <c r="E41" t="s">
        <v>225</v>
      </c>
      <c r="F41" t="s">
        <v>167</v>
      </c>
      <c r="G41" s="3" t="s">
        <v>64</v>
      </c>
      <c r="H41" t="s">
        <v>65</v>
      </c>
      <c r="I41" s="4">
        <v>44196</v>
      </c>
      <c r="K41">
        <v>7294055000</v>
      </c>
      <c r="L41">
        <v>1</v>
      </c>
      <c r="M41">
        <v>1</v>
      </c>
      <c r="N41">
        <v>14842991000</v>
      </c>
      <c r="O41" t="s">
        <v>128</v>
      </c>
      <c r="P41" t="s">
        <v>287</v>
      </c>
      <c r="AE41" s="53">
        <v>2.9</v>
      </c>
      <c r="AF41" s="53">
        <v>2.9</v>
      </c>
      <c r="AG41" s="53">
        <v>2.9</v>
      </c>
      <c r="AH41" s="53">
        <v>2.7</v>
      </c>
      <c r="AI41" s="53">
        <v>1.5</v>
      </c>
      <c r="AS41">
        <v>3.933333333333334</v>
      </c>
      <c r="AT41">
        <v>3.933333333333334</v>
      </c>
      <c r="AU41">
        <v>3.933333333333334</v>
      </c>
      <c r="AV41">
        <v>3.5</v>
      </c>
      <c r="AW41">
        <v>2.1538461538461542</v>
      </c>
    </row>
    <row r="42" spans="1:49">
      <c r="A42" t="s">
        <v>270</v>
      </c>
      <c r="B42" s="3" t="s">
        <v>271</v>
      </c>
      <c r="C42" t="s">
        <v>272</v>
      </c>
      <c r="D42" t="s">
        <v>61</v>
      </c>
      <c r="E42" t="s">
        <v>62</v>
      </c>
      <c r="F42" t="s">
        <v>167</v>
      </c>
      <c r="G42" s="3" t="s">
        <v>64</v>
      </c>
      <c r="H42" t="s">
        <v>65</v>
      </c>
      <c r="I42" s="4">
        <v>44196</v>
      </c>
      <c r="J42">
        <v>160935221</v>
      </c>
      <c r="K42">
        <v>1208800000</v>
      </c>
      <c r="L42">
        <v>302435221</v>
      </c>
      <c r="M42">
        <v>329535221</v>
      </c>
      <c r="N42">
        <v>1085200000</v>
      </c>
      <c r="O42" t="s">
        <v>128</v>
      </c>
      <c r="P42" t="s">
        <v>287</v>
      </c>
      <c r="AE42" s="53">
        <v>0.42172199999999999</v>
      </c>
      <c r="AF42" s="53">
        <v>0.42172199999999999</v>
      </c>
      <c r="AG42" s="53">
        <v>0.42172199999999999</v>
      </c>
      <c r="AH42" s="53">
        <v>0.29852600000000001</v>
      </c>
      <c r="AI42" s="53">
        <v>0.197605</v>
      </c>
      <c r="AS42">
        <v>1.415411</v>
      </c>
      <c r="AT42">
        <v>1.415411</v>
      </c>
      <c r="AU42">
        <v>1.415411</v>
      </c>
      <c r="AV42">
        <v>0.96435300000000002</v>
      </c>
      <c r="AW42">
        <v>0.65796399999999999</v>
      </c>
    </row>
    <row r="43" spans="1:49">
      <c r="A43" t="s">
        <v>273</v>
      </c>
      <c r="B43" s="3" t="s">
        <v>274</v>
      </c>
      <c r="C43" t="s">
        <v>275</v>
      </c>
      <c r="D43" t="s">
        <v>61</v>
      </c>
      <c r="E43" t="s">
        <v>62</v>
      </c>
      <c r="F43" t="s">
        <v>167</v>
      </c>
      <c r="G43" s="3" t="s">
        <v>64</v>
      </c>
      <c r="H43" t="s">
        <v>65</v>
      </c>
      <c r="I43" s="4">
        <v>44196</v>
      </c>
      <c r="J43">
        <v>1600000000</v>
      </c>
      <c r="K43">
        <v>12937000000</v>
      </c>
      <c r="L43">
        <v>4630000000</v>
      </c>
      <c r="M43">
        <v>5379000000</v>
      </c>
      <c r="N43">
        <v>11608000000</v>
      </c>
      <c r="O43" t="s">
        <v>128</v>
      </c>
      <c r="P43" t="s">
        <v>287</v>
      </c>
      <c r="AE43" s="53">
        <v>32.421599999999998</v>
      </c>
      <c r="AF43" s="53">
        <v>33.067599999999999</v>
      </c>
      <c r="AG43" s="53">
        <v>35.458500000000001</v>
      </c>
      <c r="AH43" s="53">
        <v>33.058199999999999</v>
      </c>
      <c r="AI43" s="53">
        <v>27.003599999999999</v>
      </c>
      <c r="AS43">
        <v>14.22</v>
      </c>
      <c r="AT43">
        <v>14.44</v>
      </c>
      <c r="AU43">
        <v>15.35</v>
      </c>
      <c r="AV43">
        <v>13.89</v>
      </c>
      <c r="AW43">
        <v>11.54</v>
      </c>
    </row>
    <row r="44" spans="1:49">
      <c r="A44" t="s">
        <v>276</v>
      </c>
      <c r="B44" s="3" t="s">
        <v>277</v>
      </c>
      <c r="C44" t="s">
        <v>278</v>
      </c>
      <c r="D44" t="s">
        <v>61</v>
      </c>
      <c r="E44" t="s">
        <v>62</v>
      </c>
      <c r="F44" t="s">
        <v>141</v>
      </c>
      <c r="G44" s="3" t="s">
        <v>64</v>
      </c>
      <c r="H44" t="s">
        <v>65</v>
      </c>
      <c r="I44" s="4">
        <v>44196</v>
      </c>
      <c r="J44">
        <v>32825311125</v>
      </c>
      <c r="K44">
        <v>11529000000</v>
      </c>
      <c r="L44">
        <v>1</v>
      </c>
      <c r="M44">
        <v>1</v>
      </c>
      <c r="N44">
        <v>50448000000</v>
      </c>
      <c r="O44" t="s">
        <v>128</v>
      </c>
      <c r="P44" t="s">
        <v>286</v>
      </c>
      <c r="AE44" s="53">
        <v>46.128179090000003</v>
      </c>
      <c r="AF44" s="53">
        <v>44.807197789999996</v>
      </c>
      <c r="AG44" s="53">
        <v>47.025298190000001</v>
      </c>
      <c r="AH44" s="53">
        <v>43.15126858</v>
      </c>
      <c r="AI44" s="53">
        <v>40.042084060000001</v>
      </c>
      <c r="AS44">
        <v>88.456566530000003</v>
      </c>
      <c r="AT44">
        <v>86.887076559999997</v>
      </c>
      <c r="AU44">
        <v>91.462663679999991</v>
      </c>
      <c r="AV44">
        <v>92.205090630000001</v>
      </c>
      <c r="AW44">
        <v>92.771096270000001</v>
      </c>
    </row>
    <row r="45" spans="1:49">
      <c r="E45"/>
    </row>
    <row r="46" spans="1:49">
      <c r="E46"/>
    </row>
    <row r="47" spans="1:49">
      <c r="E47"/>
    </row>
    <row r="48" spans="1:49">
      <c r="E48"/>
      <c r="O48" s="52"/>
      <c r="P48" s="52"/>
    </row>
    <row r="49" spans="5:16">
      <c r="E49"/>
      <c r="O49" s="52"/>
      <c r="P49" s="52"/>
    </row>
    <row r="50" spans="5:16">
      <c r="E50"/>
      <c r="O50" s="52"/>
      <c r="P50" s="52"/>
    </row>
    <row r="51" spans="5:16">
      <c r="E51"/>
    </row>
    <row r="52" spans="5:16">
      <c r="E52"/>
      <c r="O52" s="52"/>
      <c r="P52" s="52"/>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5"/>
  <sheetViews>
    <sheetView tabSelected="1" zoomScaleNormal="100" workbookViewId="0">
      <pane xSplit="1" ySplit="1" topLeftCell="B2" activePane="bottomRight" state="frozen"/>
      <selection pane="topRight" activeCell="B1" sqref="B1"/>
      <selection pane="bottomLeft" activeCell="A2" sqref="A2"/>
      <selection pane="bottomRight" activeCell="G23" sqref="G23"/>
    </sheetView>
  </sheetViews>
  <sheetFormatPr baseColWidth="10" defaultColWidth="8.83203125" defaultRowHeight="15"/>
  <cols>
    <col min="1" max="1" width="29.33203125" customWidth="1"/>
    <col min="2" max="2" width="25.5" style="3" customWidth="1"/>
    <col min="3" max="3" width="16.5"/>
    <col min="4" max="4" width="16.5" style="21"/>
    <col min="5" max="5" width="17.5" style="21" customWidth="1"/>
    <col min="6" max="7" width="24" customWidth="1"/>
    <col min="8" max="8" width="22.5" style="16" customWidth="1"/>
    <col min="9" max="9" width="23.33203125" customWidth="1"/>
    <col min="10" max="10" width="24" customWidth="1"/>
    <col min="11" max="11" width="19.33203125" customWidth="1"/>
    <col min="12" max="12" width="21.5" customWidth="1"/>
  </cols>
  <sheetData>
    <row r="1" spans="1:12">
      <c r="A1" s="6" t="s">
        <v>56</v>
      </c>
      <c r="B1" s="6" t="s">
        <v>57</v>
      </c>
      <c r="C1" s="6" t="s">
        <v>1</v>
      </c>
      <c r="D1" s="22" t="s">
        <v>289</v>
      </c>
      <c r="E1" s="15" t="s">
        <v>122</v>
      </c>
      <c r="F1" s="15" t="s">
        <v>123</v>
      </c>
      <c r="G1" s="47" t="s">
        <v>124</v>
      </c>
      <c r="H1" s="15" t="s">
        <v>114</v>
      </c>
      <c r="I1" s="15" t="s">
        <v>115</v>
      </c>
      <c r="J1" s="15" t="s">
        <v>116</v>
      </c>
      <c r="K1" s="8" t="s">
        <v>117</v>
      </c>
      <c r="L1" s="8" t="s">
        <v>118</v>
      </c>
    </row>
    <row r="2" spans="1:12">
      <c r="A2" t="s">
        <v>58</v>
      </c>
      <c r="B2" s="56" t="s">
        <v>59</v>
      </c>
      <c r="C2" s="55" t="s">
        <v>60</v>
      </c>
      <c r="D2" s="55">
        <v>2040</v>
      </c>
      <c r="E2" s="55" t="s">
        <v>66</v>
      </c>
      <c r="F2" s="55" t="s">
        <v>281</v>
      </c>
      <c r="G2" s="55">
        <v>2019</v>
      </c>
      <c r="H2">
        <v>2016</v>
      </c>
      <c r="I2" s="57">
        <v>0.67400000000000004</v>
      </c>
      <c r="J2" s="55" t="s">
        <v>129</v>
      </c>
      <c r="K2" s="55">
        <v>2040</v>
      </c>
      <c r="L2" s="58">
        <v>1</v>
      </c>
    </row>
    <row r="3" spans="1:12">
      <c r="A3" t="s">
        <v>58</v>
      </c>
      <c r="B3" s="3" t="s">
        <v>59</v>
      </c>
      <c r="C3" t="s">
        <v>60</v>
      </c>
      <c r="D3" s="55">
        <v>2040</v>
      </c>
      <c r="E3" t="s">
        <v>280</v>
      </c>
      <c r="F3" t="s">
        <v>283</v>
      </c>
      <c r="G3" s="55">
        <v>2019</v>
      </c>
      <c r="H3">
        <v>2016</v>
      </c>
      <c r="I3" s="60">
        <v>70457</v>
      </c>
      <c r="J3" t="s">
        <v>128</v>
      </c>
      <c r="K3">
        <v>2050</v>
      </c>
      <c r="L3" s="59">
        <v>1</v>
      </c>
    </row>
    <row r="4" spans="1:12">
      <c r="A4" t="s">
        <v>58</v>
      </c>
      <c r="B4" s="3" t="s">
        <v>59</v>
      </c>
      <c r="C4" t="s">
        <v>60</v>
      </c>
      <c r="D4" s="55">
        <v>2040</v>
      </c>
      <c r="E4" s="61" t="s">
        <v>66</v>
      </c>
      <c r="F4" t="s">
        <v>281</v>
      </c>
      <c r="G4" s="55">
        <v>2019</v>
      </c>
      <c r="H4">
        <v>2016</v>
      </c>
      <c r="I4">
        <v>0.67</v>
      </c>
      <c r="J4" t="s">
        <v>285</v>
      </c>
      <c r="K4">
        <v>2030</v>
      </c>
      <c r="L4" s="59">
        <v>0.7</v>
      </c>
    </row>
    <row r="5" spans="1:12">
      <c r="A5" t="s">
        <v>144</v>
      </c>
      <c r="B5" s="3" t="s">
        <v>145</v>
      </c>
      <c r="C5" t="s">
        <v>146</v>
      </c>
      <c r="D5" s="43">
        <v>2050</v>
      </c>
      <c r="E5" s="55" t="s">
        <v>280</v>
      </c>
      <c r="F5" s="55" t="s">
        <v>281</v>
      </c>
      <c r="G5" s="43"/>
      <c r="H5" s="43">
        <v>2005</v>
      </c>
      <c r="I5" s="54">
        <v>10178945</v>
      </c>
      <c r="J5" s="55" t="s">
        <v>142</v>
      </c>
      <c r="K5" s="43">
        <v>2050</v>
      </c>
      <c r="L5" s="48">
        <v>1</v>
      </c>
    </row>
    <row r="6" spans="1:12">
      <c r="A6" t="s">
        <v>149</v>
      </c>
      <c r="B6" s="3" t="s">
        <v>147</v>
      </c>
      <c r="C6" t="s">
        <v>151</v>
      </c>
      <c r="D6" s="21">
        <v>2050</v>
      </c>
      <c r="E6" s="55" t="s">
        <v>66</v>
      </c>
      <c r="F6" t="s">
        <v>281</v>
      </c>
      <c r="H6" s="16">
        <v>2005</v>
      </c>
      <c r="I6">
        <f>(16*0.4+9*0.5)/(16+9)</f>
        <v>0.436</v>
      </c>
      <c r="J6" s="55" t="s">
        <v>129</v>
      </c>
      <c r="K6">
        <v>2030</v>
      </c>
      <c r="L6" s="59">
        <v>0.5</v>
      </c>
    </row>
    <row r="7" spans="1:12">
      <c r="A7" t="s">
        <v>152</v>
      </c>
      <c r="B7" s="3" t="s">
        <v>153</v>
      </c>
      <c r="C7" t="s">
        <v>154</v>
      </c>
      <c r="D7" s="21">
        <v>2050</v>
      </c>
      <c r="E7" s="55" t="s">
        <v>280</v>
      </c>
      <c r="F7" t="s">
        <v>281</v>
      </c>
      <c r="H7" s="16">
        <v>2005</v>
      </c>
      <c r="I7" s="60">
        <v>38113792</v>
      </c>
      <c r="J7" s="55" t="s">
        <v>142</v>
      </c>
      <c r="K7">
        <v>2030</v>
      </c>
      <c r="L7" s="59">
        <v>0.5</v>
      </c>
    </row>
    <row r="8" spans="1:12">
      <c r="A8" t="s">
        <v>152</v>
      </c>
      <c r="B8" s="3" t="s">
        <v>153</v>
      </c>
      <c r="C8" t="s">
        <v>154</v>
      </c>
      <c r="D8" s="21">
        <v>2050</v>
      </c>
      <c r="E8" s="55" t="s">
        <v>280</v>
      </c>
      <c r="F8" t="s">
        <v>281</v>
      </c>
      <c r="H8" s="16">
        <v>2005</v>
      </c>
      <c r="I8" s="60">
        <v>38113792</v>
      </c>
      <c r="J8" s="55" t="s">
        <v>142</v>
      </c>
      <c r="K8">
        <v>2040</v>
      </c>
      <c r="L8" s="59">
        <v>0.85</v>
      </c>
    </row>
    <row r="9" spans="1:12">
      <c r="A9" t="s">
        <v>155</v>
      </c>
      <c r="B9" s="3" t="s">
        <v>156</v>
      </c>
      <c r="C9" t="s">
        <v>157</v>
      </c>
      <c r="D9" s="21">
        <v>2050</v>
      </c>
      <c r="E9" s="21" t="s">
        <v>280</v>
      </c>
      <c r="F9" t="s">
        <v>279</v>
      </c>
      <c r="H9" s="16">
        <v>2000</v>
      </c>
      <c r="I9" s="21">
        <v>167000000</v>
      </c>
      <c r="J9" s="55" t="s">
        <v>142</v>
      </c>
      <c r="K9">
        <v>2030</v>
      </c>
      <c r="L9" s="59">
        <v>0.8</v>
      </c>
    </row>
    <row r="10" spans="1:12">
      <c r="A10" t="s">
        <v>158</v>
      </c>
      <c r="B10" s="3" t="s">
        <v>159</v>
      </c>
      <c r="C10" t="s">
        <v>160</v>
      </c>
      <c r="D10" s="21">
        <v>2035</v>
      </c>
      <c r="E10" s="21" t="s">
        <v>280</v>
      </c>
      <c r="F10" t="s">
        <v>279</v>
      </c>
      <c r="H10" s="16">
        <v>2015</v>
      </c>
      <c r="I10" s="54">
        <v>1.3146552000000001E-2</v>
      </c>
      <c r="J10" s="55" t="s">
        <v>128</v>
      </c>
      <c r="K10">
        <v>2025</v>
      </c>
      <c r="L10" s="59">
        <v>0.35</v>
      </c>
    </row>
    <row r="11" spans="1:12">
      <c r="A11" t="s">
        <v>161</v>
      </c>
      <c r="B11" s="3" t="s">
        <v>162</v>
      </c>
      <c r="C11" t="s">
        <v>163</v>
      </c>
      <c r="E11" s="21" t="s">
        <v>66</v>
      </c>
      <c r="F11" t="s">
        <v>279</v>
      </c>
      <c r="H11" s="16">
        <v>2005</v>
      </c>
      <c r="I11">
        <v>1</v>
      </c>
      <c r="J11" s="55" t="s">
        <v>285</v>
      </c>
      <c r="K11">
        <v>2030</v>
      </c>
      <c r="L11" s="59">
        <v>0.4</v>
      </c>
    </row>
    <row r="12" spans="1:12">
      <c r="A12" t="s">
        <v>161</v>
      </c>
      <c r="B12" s="3" t="s">
        <v>162</v>
      </c>
      <c r="C12" t="s">
        <v>163</v>
      </c>
      <c r="E12" s="21" t="s">
        <v>66</v>
      </c>
      <c r="F12" t="s">
        <v>279</v>
      </c>
      <c r="H12" s="16">
        <v>2005</v>
      </c>
      <c r="I12">
        <v>1</v>
      </c>
      <c r="J12" s="55" t="s">
        <v>285</v>
      </c>
      <c r="K12">
        <v>2040</v>
      </c>
      <c r="L12" s="59">
        <v>0.7</v>
      </c>
    </row>
    <row r="13" spans="1:12">
      <c r="A13" t="s">
        <v>164</v>
      </c>
      <c r="B13" s="3" t="s">
        <v>165</v>
      </c>
      <c r="C13" t="s">
        <v>166</v>
      </c>
      <c r="E13" s="21" t="s">
        <v>66</v>
      </c>
      <c r="F13" t="s">
        <v>281</v>
      </c>
      <c r="H13" s="16">
        <v>2020</v>
      </c>
      <c r="I13">
        <f>0.292832151/0.141</f>
        <v>2.0768237659574469</v>
      </c>
      <c r="J13" s="55" t="s">
        <v>284</v>
      </c>
      <c r="K13">
        <v>2050</v>
      </c>
      <c r="L13" s="59">
        <v>0.1</v>
      </c>
    </row>
    <row r="14" spans="1:12">
      <c r="A14" t="s">
        <v>169</v>
      </c>
      <c r="B14" s="3" t="s">
        <v>170</v>
      </c>
      <c r="C14" t="s">
        <v>171</v>
      </c>
      <c r="E14" t="s">
        <v>280</v>
      </c>
      <c r="F14" t="s">
        <v>281</v>
      </c>
      <c r="G14">
        <v>2020</v>
      </c>
      <c r="H14" s="16">
        <v>2005</v>
      </c>
      <c r="I14">
        <v>25218000</v>
      </c>
      <c r="J14" t="s">
        <v>142</v>
      </c>
      <c r="K14">
        <v>2040</v>
      </c>
      <c r="L14" s="59">
        <v>1</v>
      </c>
    </row>
    <row r="15" spans="1:12">
      <c r="A15" t="s">
        <v>172</v>
      </c>
      <c r="B15" s="3" t="s">
        <v>173</v>
      </c>
      <c r="C15" t="s">
        <v>174</v>
      </c>
      <c r="E15" s="21" t="s">
        <v>66</v>
      </c>
      <c r="F15" t="s">
        <v>281</v>
      </c>
      <c r="G15">
        <v>2021</v>
      </c>
      <c r="H15" s="16">
        <v>2019</v>
      </c>
      <c r="I15">
        <v>0.48099999999999998</v>
      </c>
      <c r="J15" s="55" t="s">
        <v>284</v>
      </c>
      <c r="K15">
        <v>2030</v>
      </c>
      <c r="L15" s="59">
        <v>0.2</v>
      </c>
    </row>
    <row r="16" spans="1:12">
      <c r="A16" t="s">
        <v>175</v>
      </c>
      <c r="B16" s="3" t="s">
        <v>176</v>
      </c>
      <c r="C16" t="s">
        <v>177</v>
      </c>
      <c r="D16" s="21">
        <v>2050</v>
      </c>
      <c r="E16" s="21" t="s">
        <v>280</v>
      </c>
      <c r="F16" t="s">
        <v>281</v>
      </c>
      <c r="H16" s="16">
        <v>2011</v>
      </c>
      <c r="I16">
        <v>24000000</v>
      </c>
      <c r="J16" s="55" t="s">
        <v>142</v>
      </c>
      <c r="K16">
        <v>2030</v>
      </c>
      <c r="L16" s="59">
        <v>0.6</v>
      </c>
    </row>
    <row r="17" spans="1:12">
      <c r="A17" t="s">
        <v>178</v>
      </c>
      <c r="B17" s="3" t="s">
        <v>179</v>
      </c>
      <c r="C17" t="s">
        <v>180</v>
      </c>
      <c r="D17" s="21">
        <v>2040</v>
      </c>
      <c r="E17" s="21" t="s">
        <v>280</v>
      </c>
      <c r="F17" t="s">
        <v>279</v>
      </c>
      <c r="G17">
        <v>2021</v>
      </c>
      <c r="H17" s="16">
        <v>2020</v>
      </c>
      <c r="I17" s="53">
        <v>1.145419433</v>
      </c>
      <c r="J17" t="s">
        <v>128</v>
      </c>
      <c r="K17">
        <v>2040</v>
      </c>
      <c r="L17" s="59">
        <v>1</v>
      </c>
    </row>
    <row r="18" spans="1:12">
      <c r="A18" t="s">
        <v>181</v>
      </c>
      <c r="B18" s="3" t="s">
        <v>182</v>
      </c>
      <c r="C18" t="s">
        <v>183</v>
      </c>
      <c r="D18" s="21">
        <v>2050</v>
      </c>
      <c r="E18" s="21" t="s">
        <v>280</v>
      </c>
      <c r="F18" t="s">
        <v>279</v>
      </c>
      <c r="G18">
        <v>2017</v>
      </c>
      <c r="H18" s="16">
        <v>2005</v>
      </c>
      <c r="I18">
        <v>37700000</v>
      </c>
      <c r="J18" s="55" t="s">
        <v>142</v>
      </c>
      <c r="K18">
        <v>2030</v>
      </c>
      <c r="L18" s="59">
        <v>0.5</v>
      </c>
    </row>
    <row r="19" spans="1:12">
      <c r="A19" t="s">
        <v>181</v>
      </c>
      <c r="B19" s="3" t="s">
        <v>182</v>
      </c>
      <c r="C19" t="s">
        <v>183</v>
      </c>
      <c r="D19" s="21">
        <v>2050</v>
      </c>
      <c r="E19" s="21" t="s">
        <v>280</v>
      </c>
      <c r="F19" t="s">
        <v>279</v>
      </c>
      <c r="G19">
        <v>2017</v>
      </c>
      <c r="H19" s="16">
        <v>2005</v>
      </c>
      <c r="I19">
        <v>37700000</v>
      </c>
      <c r="J19" s="55" t="s">
        <v>142</v>
      </c>
      <c r="K19">
        <v>2040</v>
      </c>
      <c r="L19" s="59">
        <v>0.8</v>
      </c>
    </row>
    <row r="20" spans="1:12">
      <c r="A20" t="s">
        <v>184</v>
      </c>
      <c r="B20" s="3" t="s">
        <v>185</v>
      </c>
      <c r="C20" t="s">
        <v>186</v>
      </c>
      <c r="D20" s="21">
        <v>2050</v>
      </c>
      <c r="E20" s="21" t="s">
        <v>280</v>
      </c>
      <c r="F20" t="s">
        <v>279</v>
      </c>
      <c r="H20" s="16">
        <v>2005</v>
      </c>
      <c r="I20">
        <v>59.347999999999999</v>
      </c>
      <c r="J20" s="55" t="s">
        <v>128</v>
      </c>
      <c r="K20">
        <v>2030</v>
      </c>
      <c r="L20" s="59">
        <v>0.55000000000000004</v>
      </c>
    </row>
    <row r="21" spans="1:12">
      <c r="A21" t="s">
        <v>187</v>
      </c>
      <c r="B21" s="3" t="s">
        <v>188</v>
      </c>
      <c r="C21" t="s">
        <v>189</v>
      </c>
      <c r="D21" s="21">
        <v>2050</v>
      </c>
      <c r="E21" s="21" t="s">
        <v>280</v>
      </c>
      <c r="F21" t="s">
        <v>279</v>
      </c>
      <c r="H21" s="16">
        <v>2005</v>
      </c>
      <c r="I21">
        <v>153000000</v>
      </c>
      <c r="J21" s="55" t="s">
        <v>142</v>
      </c>
      <c r="K21">
        <v>2030</v>
      </c>
      <c r="L21" s="59">
        <v>0.5</v>
      </c>
    </row>
    <row r="22" spans="1:12">
      <c r="A22" t="s">
        <v>190</v>
      </c>
      <c r="B22" s="3" t="s">
        <v>191</v>
      </c>
      <c r="C22" t="s">
        <v>192</v>
      </c>
      <c r="D22" s="21">
        <v>2050</v>
      </c>
      <c r="E22" s="21" t="s">
        <v>280</v>
      </c>
      <c r="F22" t="s">
        <v>281</v>
      </c>
      <c r="G22">
        <v>2020</v>
      </c>
      <c r="H22" s="16">
        <v>2000</v>
      </c>
      <c r="I22">
        <v>49960899</v>
      </c>
      <c r="J22" s="55" t="s">
        <v>142</v>
      </c>
      <c r="K22">
        <v>2050</v>
      </c>
      <c r="L22" s="59">
        <v>1</v>
      </c>
    </row>
    <row r="23" spans="1:12">
      <c r="A23" t="s">
        <v>190</v>
      </c>
      <c r="B23" s="3" t="s">
        <v>191</v>
      </c>
      <c r="C23" t="s">
        <v>192</v>
      </c>
      <c r="D23" s="21">
        <v>2050</v>
      </c>
      <c r="E23" s="21" t="s">
        <v>66</v>
      </c>
      <c r="F23" t="s">
        <v>279</v>
      </c>
      <c r="G23">
        <v>2020</v>
      </c>
      <c r="H23" s="16">
        <v>2000</v>
      </c>
      <c r="I23">
        <v>0.4826223</v>
      </c>
      <c r="J23" s="55" t="s">
        <v>285</v>
      </c>
      <c r="K23">
        <v>2030</v>
      </c>
      <c r="L23" s="59">
        <v>0.5</v>
      </c>
    </row>
    <row r="24" spans="1:12">
      <c r="A24" t="s">
        <v>193</v>
      </c>
      <c r="B24" s="3" t="s">
        <v>194</v>
      </c>
      <c r="C24" t="s">
        <v>195</v>
      </c>
      <c r="D24" s="21">
        <v>2045</v>
      </c>
      <c r="E24" s="21" t="s">
        <v>280</v>
      </c>
      <c r="F24" t="s">
        <v>279</v>
      </c>
      <c r="H24" s="16">
        <v>2005</v>
      </c>
      <c r="I24" s="60">
        <v>48455198</v>
      </c>
      <c r="J24" s="55" t="s">
        <v>142</v>
      </c>
      <c r="K24">
        <v>2030</v>
      </c>
      <c r="L24" s="59">
        <v>0.7</v>
      </c>
    </row>
    <row r="25" spans="1:12">
      <c r="A25" t="s">
        <v>196</v>
      </c>
      <c r="B25" s="3" t="s">
        <v>197</v>
      </c>
      <c r="C25" t="s">
        <v>198</v>
      </c>
      <c r="D25" s="21">
        <v>2030</v>
      </c>
      <c r="E25" s="21" t="s">
        <v>280</v>
      </c>
      <c r="F25" t="s">
        <v>281</v>
      </c>
      <c r="G25">
        <v>2019</v>
      </c>
      <c r="H25" s="16">
        <v>2018</v>
      </c>
      <c r="I25">
        <v>828107</v>
      </c>
      <c r="J25" s="55" t="s">
        <v>142</v>
      </c>
      <c r="K25">
        <v>2030</v>
      </c>
      <c r="L25" s="59">
        <v>1</v>
      </c>
    </row>
    <row r="26" spans="1:12">
      <c r="A26" t="s">
        <v>199</v>
      </c>
      <c r="B26" s="3" t="s">
        <v>200</v>
      </c>
      <c r="C26" t="s">
        <v>201</v>
      </c>
      <c r="D26" s="73">
        <v>2050</v>
      </c>
      <c r="E26" s="73" t="s">
        <v>280</v>
      </c>
      <c r="F26" t="s">
        <v>281</v>
      </c>
      <c r="G26">
        <v>2021</v>
      </c>
      <c r="H26" s="74">
        <v>2015</v>
      </c>
      <c r="I26">
        <v>1100</v>
      </c>
      <c r="J26" s="75" t="s">
        <v>290</v>
      </c>
      <c r="K26">
        <v>2030</v>
      </c>
      <c r="L26" s="59">
        <v>0.5</v>
      </c>
    </row>
    <row r="27" spans="1:12">
      <c r="A27" t="s">
        <v>202</v>
      </c>
      <c r="B27" s="3" t="s">
        <v>203</v>
      </c>
      <c r="C27" t="s">
        <v>204</v>
      </c>
      <c r="E27" s="21" t="s">
        <v>280</v>
      </c>
      <c r="F27" t="s">
        <v>279</v>
      </c>
      <c r="G27">
        <v>2015</v>
      </c>
      <c r="H27" s="16">
        <v>2005</v>
      </c>
      <c r="I27">
        <v>86403130</v>
      </c>
      <c r="J27" s="55" t="s">
        <v>142</v>
      </c>
      <c r="K27">
        <v>2045</v>
      </c>
      <c r="L27" s="59">
        <v>0.62</v>
      </c>
    </row>
    <row r="28" spans="1:12">
      <c r="A28" t="s">
        <v>205</v>
      </c>
      <c r="B28" s="3" t="s">
        <v>206</v>
      </c>
      <c r="C28" t="s">
        <v>207</v>
      </c>
      <c r="E28" s="21" t="s">
        <v>280</v>
      </c>
      <c r="F28" t="s">
        <v>279</v>
      </c>
      <c r="G28">
        <v>2020</v>
      </c>
      <c r="H28" s="16">
        <v>2019</v>
      </c>
      <c r="I28" s="60">
        <v>11925000</v>
      </c>
      <c r="J28" s="55" t="s">
        <v>142</v>
      </c>
      <c r="K28">
        <v>2035</v>
      </c>
      <c r="L28" s="59">
        <v>0.75</v>
      </c>
    </row>
    <row r="29" spans="1:12">
      <c r="A29" t="s">
        <v>208</v>
      </c>
      <c r="B29" s="3" t="s">
        <v>209</v>
      </c>
      <c r="C29" t="s">
        <v>210</v>
      </c>
      <c r="D29" s="21">
        <v>2050</v>
      </c>
      <c r="E29" s="21" t="s">
        <v>66</v>
      </c>
      <c r="F29" t="s">
        <v>281</v>
      </c>
      <c r="G29">
        <v>2022</v>
      </c>
      <c r="H29" s="16">
        <v>2020</v>
      </c>
      <c r="I29">
        <v>0.93</v>
      </c>
      <c r="J29" s="55" t="s">
        <v>284</v>
      </c>
      <c r="K29">
        <v>2031</v>
      </c>
      <c r="L29" s="59">
        <v>0.10800000000000001</v>
      </c>
    </row>
    <row r="30" spans="1:12">
      <c r="A30" t="s">
        <v>212</v>
      </c>
      <c r="B30" s="3" t="s">
        <v>213</v>
      </c>
      <c r="C30" t="s">
        <v>214</v>
      </c>
      <c r="E30" s="21" t="s">
        <v>66</v>
      </c>
      <c r="F30" t="s">
        <v>279</v>
      </c>
      <c r="G30">
        <v>2020</v>
      </c>
      <c r="H30" s="16">
        <v>2010</v>
      </c>
      <c r="I30">
        <v>0.76300000000000001</v>
      </c>
      <c r="J30" s="55" t="s">
        <v>285</v>
      </c>
      <c r="K30">
        <v>2030</v>
      </c>
      <c r="L30" s="59">
        <v>0.1</v>
      </c>
    </row>
    <row r="31" spans="1:12">
      <c r="A31" t="s">
        <v>215</v>
      </c>
      <c r="B31" s="3" t="s">
        <v>216</v>
      </c>
      <c r="C31" t="s">
        <v>217</v>
      </c>
      <c r="E31" s="21" t="s">
        <v>66</v>
      </c>
      <c r="F31" t="s">
        <v>281</v>
      </c>
      <c r="H31" s="16">
        <v>2000</v>
      </c>
      <c r="I31">
        <f>2650/2000</f>
        <v>1.325</v>
      </c>
      <c r="J31" s="55" t="s">
        <v>285</v>
      </c>
      <c r="K31">
        <v>2030</v>
      </c>
      <c r="L31" s="59">
        <v>0.5</v>
      </c>
    </row>
    <row r="32" spans="1:12">
      <c r="A32" t="s">
        <v>218</v>
      </c>
      <c r="B32" s="3" t="s">
        <v>219</v>
      </c>
      <c r="C32" t="s">
        <v>220</v>
      </c>
      <c r="E32" t="s">
        <v>66</v>
      </c>
      <c r="F32" t="s">
        <v>281</v>
      </c>
      <c r="G32">
        <v>2020</v>
      </c>
      <c r="H32">
        <v>2015</v>
      </c>
      <c r="I32">
        <v>0.82</v>
      </c>
      <c r="J32" t="s">
        <v>284</v>
      </c>
      <c r="K32">
        <v>2030</v>
      </c>
      <c r="L32" s="59">
        <v>0.35</v>
      </c>
    </row>
    <row r="33" spans="1:12">
      <c r="A33" t="s">
        <v>221</v>
      </c>
      <c r="B33" s="3" t="s">
        <v>222</v>
      </c>
      <c r="C33" t="s">
        <v>223</v>
      </c>
      <c r="D33" s="21">
        <v>2050</v>
      </c>
      <c r="E33" t="s">
        <v>280</v>
      </c>
      <c r="F33" t="s">
        <v>281</v>
      </c>
      <c r="G33">
        <v>2020</v>
      </c>
      <c r="H33">
        <v>1990</v>
      </c>
      <c r="I33">
        <f>7000000/(1-0.68)</f>
        <v>21875000.000000004</v>
      </c>
      <c r="J33" t="s">
        <v>142</v>
      </c>
      <c r="K33">
        <v>2030</v>
      </c>
      <c r="L33" s="59">
        <v>0.8</v>
      </c>
    </row>
    <row r="34" spans="1:12">
      <c r="A34" t="s">
        <v>221</v>
      </c>
      <c r="B34" s="3" t="s">
        <v>222</v>
      </c>
      <c r="C34" t="s">
        <v>223</v>
      </c>
      <c r="D34" s="21">
        <v>2050</v>
      </c>
      <c r="E34" t="s">
        <v>280</v>
      </c>
      <c r="F34" t="s">
        <v>281</v>
      </c>
      <c r="G34">
        <v>2020</v>
      </c>
      <c r="H34">
        <v>1990</v>
      </c>
      <c r="I34">
        <f>7000000/(1-0.68)</f>
        <v>21875000.000000004</v>
      </c>
      <c r="J34" t="s">
        <v>142</v>
      </c>
      <c r="K34">
        <v>2040</v>
      </c>
      <c r="L34" s="59">
        <v>0.9</v>
      </c>
    </row>
    <row r="35" spans="1:12">
      <c r="A35" t="s">
        <v>226</v>
      </c>
      <c r="B35" s="3" t="s">
        <v>227</v>
      </c>
      <c r="C35" t="s">
        <v>228</v>
      </c>
      <c r="D35" s="21">
        <v>2050</v>
      </c>
      <c r="E35" s="21" t="s">
        <v>280</v>
      </c>
      <c r="F35" t="s">
        <v>279</v>
      </c>
      <c r="G35">
        <v>2019</v>
      </c>
      <c r="H35" s="16">
        <v>2010</v>
      </c>
      <c r="I35" s="60">
        <v>3734024</v>
      </c>
      <c r="J35" t="s">
        <v>142</v>
      </c>
      <c r="K35">
        <v>2045</v>
      </c>
      <c r="L35" s="59">
        <v>0.9</v>
      </c>
    </row>
    <row r="36" spans="1:12">
      <c r="A36" t="s">
        <v>229</v>
      </c>
      <c r="B36" s="3" t="s">
        <v>230</v>
      </c>
      <c r="C36" t="s">
        <v>231</v>
      </c>
      <c r="E36" s="21" t="s">
        <v>280</v>
      </c>
      <c r="F36" t="s">
        <v>279</v>
      </c>
      <c r="G36">
        <v>2018</v>
      </c>
      <c r="H36" s="16">
        <v>2005</v>
      </c>
      <c r="I36" s="60">
        <v>21445571</v>
      </c>
      <c r="J36" t="s">
        <v>142</v>
      </c>
      <c r="K36">
        <v>2030</v>
      </c>
      <c r="L36" s="59">
        <v>0.5</v>
      </c>
    </row>
    <row r="37" spans="1:12">
      <c r="A37" t="s">
        <v>229</v>
      </c>
      <c r="B37" s="3" t="s">
        <v>230</v>
      </c>
      <c r="C37" t="s">
        <v>231</v>
      </c>
      <c r="E37" s="21" t="s">
        <v>280</v>
      </c>
      <c r="F37" t="s">
        <v>279</v>
      </c>
      <c r="G37">
        <v>2018</v>
      </c>
      <c r="H37" s="16">
        <v>2005</v>
      </c>
      <c r="I37" s="60">
        <v>21445571</v>
      </c>
      <c r="J37" t="s">
        <v>142</v>
      </c>
      <c r="K37">
        <v>2050</v>
      </c>
      <c r="L37" s="59">
        <v>0.95</v>
      </c>
    </row>
    <row r="38" spans="1:12">
      <c r="A38" t="s">
        <v>232</v>
      </c>
      <c r="B38" s="3" t="s">
        <v>233</v>
      </c>
      <c r="C38" t="s">
        <v>234</v>
      </c>
      <c r="D38" s="21">
        <v>2045</v>
      </c>
      <c r="E38" s="21" t="s">
        <v>280</v>
      </c>
      <c r="F38" t="s">
        <v>281</v>
      </c>
      <c r="G38">
        <v>2021</v>
      </c>
      <c r="H38" s="16">
        <v>2016</v>
      </c>
      <c r="I38">
        <v>2.2165439930000002</v>
      </c>
      <c r="J38" t="s">
        <v>128</v>
      </c>
      <c r="K38">
        <v>2045</v>
      </c>
      <c r="L38" s="59">
        <v>1</v>
      </c>
    </row>
    <row r="39" spans="1:12">
      <c r="A39" t="s">
        <v>235</v>
      </c>
      <c r="B39" s="3" t="s">
        <v>236</v>
      </c>
      <c r="C39" t="s">
        <v>237</v>
      </c>
      <c r="D39" s="21">
        <v>2040</v>
      </c>
      <c r="E39" s="21" t="s">
        <v>280</v>
      </c>
      <c r="F39" t="s">
        <v>279</v>
      </c>
      <c r="G39">
        <v>2019</v>
      </c>
      <c r="H39" s="16">
        <v>2005</v>
      </c>
      <c r="I39" s="68">
        <v>6976930.1319702603</v>
      </c>
      <c r="J39" t="s">
        <v>142</v>
      </c>
      <c r="K39">
        <v>2040</v>
      </c>
      <c r="L39" s="59">
        <v>1</v>
      </c>
    </row>
    <row r="40" spans="1:12">
      <c r="A40" t="s">
        <v>238</v>
      </c>
      <c r="B40" s="3" t="s">
        <v>239</v>
      </c>
      <c r="C40" t="s">
        <v>240</v>
      </c>
      <c r="D40" s="21">
        <v>2050</v>
      </c>
      <c r="E40" s="21" t="s">
        <v>66</v>
      </c>
      <c r="F40" t="s">
        <v>281</v>
      </c>
      <c r="G40">
        <v>2020</v>
      </c>
      <c r="H40" s="16">
        <v>2017</v>
      </c>
      <c r="I40">
        <v>2.06</v>
      </c>
      <c r="J40" t="s">
        <v>284</v>
      </c>
      <c r="K40">
        <v>2030</v>
      </c>
      <c r="L40" s="59">
        <v>0.2</v>
      </c>
    </row>
    <row r="41" spans="1:12">
      <c r="A41" t="s">
        <v>238</v>
      </c>
      <c r="B41" s="3" t="s">
        <v>239</v>
      </c>
      <c r="C41" t="s">
        <v>240</v>
      </c>
      <c r="D41" s="21">
        <v>2050</v>
      </c>
      <c r="E41" s="21" t="s">
        <v>66</v>
      </c>
      <c r="F41" t="s">
        <v>281</v>
      </c>
      <c r="G41">
        <v>2020</v>
      </c>
      <c r="H41" s="16">
        <v>2017</v>
      </c>
      <c r="I41">
        <v>2.06</v>
      </c>
      <c r="J41" t="s">
        <v>284</v>
      </c>
      <c r="K41">
        <v>2040</v>
      </c>
      <c r="L41" s="59">
        <v>0.5</v>
      </c>
    </row>
    <row r="42" spans="1:12">
      <c r="A42" t="s">
        <v>242</v>
      </c>
      <c r="B42" s="3" t="s">
        <v>243</v>
      </c>
      <c r="C42" t="s">
        <v>244</v>
      </c>
      <c r="D42" s="21">
        <v>2050</v>
      </c>
      <c r="E42" s="21" t="s">
        <v>280</v>
      </c>
      <c r="F42" t="s">
        <v>281</v>
      </c>
      <c r="G42">
        <v>2021</v>
      </c>
      <c r="H42" s="16">
        <v>2010</v>
      </c>
      <c r="I42" s="60">
        <f>60736086+1597157</f>
        <v>62333243</v>
      </c>
      <c r="J42" t="s">
        <v>142</v>
      </c>
      <c r="K42">
        <v>2035</v>
      </c>
      <c r="L42" s="59">
        <v>0.7</v>
      </c>
    </row>
    <row r="43" spans="1:12">
      <c r="A43" t="s">
        <v>242</v>
      </c>
      <c r="B43" s="3" t="s">
        <v>243</v>
      </c>
      <c r="C43" t="s">
        <v>244</v>
      </c>
      <c r="D43" s="21">
        <v>2050</v>
      </c>
      <c r="E43" s="21" t="s">
        <v>280</v>
      </c>
      <c r="F43" t="s">
        <v>281</v>
      </c>
      <c r="G43">
        <v>2021</v>
      </c>
      <c r="H43" s="16">
        <v>2010</v>
      </c>
      <c r="I43" s="60">
        <f>60736086+1597157</f>
        <v>62333243</v>
      </c>
      <c r="J43" t="s">
        <v>142</v>
      </c>
      <c r="K43">
        <v>2040</v>
      </c>
      <c r="L43" s="59">
        <v>0.8</v>
      </c>
    </row>
    <row r="44" spans="1:12">
      <c r="A44" t="s">
        <v>245</v>
      </c>
      <c r="B44" s="3" t="s">
        <v>246</v>
      </c>
      <c r="C44" t="s">
        <v>247</v>
      </c>
      <c r="D44" s="21">
        <v>2050</v>
      </c>
      <c r="E44" s="21" t="s">
        <v>280</v>
      </c>
      <c r="F44" t="s">
        <v>281</v>
      </c>
      <c r="G44">
        <v>2020</v>
      </c>
      <c r="H44" s="16">
        <v>2005</v>
      </c>
      <c r="I44" s="71">
        <v>16557441</v>
      </c>
      <c r="J44" t="s">
        <v>142</v>
      </c>
      <c r="K44">
        <v>2030</v>
      </c>
      <c r="L44" s="59">
        <v>0.7</v>
      </c>
    </row>
    <row r="45" spans="1:12">
      <c r="A45" t="s">
        <v>248</v>
      </c>
      <c r="B45" s="3" t="s">
        <v>249</v>
      </c>
      <c r="C45" t="s">
        <v>250</v>
      </c>
      <c r="D45" s="21">
        <v>2040</v>
      </c>
      <c r="E45" s="21" t="s">
        <v>66</v>
      </c>
      <c r="F45" t="s">
        <v>281</v>
      </c>
      <c r="G45">
        <v>2020</v>
      </c>
      <c r="H45" s="16">
        <v>2010</v>
      </c>
      <c r="I45">
        <v>0.47</v>
      </c>
      <c r="J45" t="s">
        <v>285</v>
      </c>
      <c r="K45">
        <v>2030</v>
      </c>
      <c r="L45" s="59">
        <v>0.8</v>
      </c>
    </row>
    <row r="46" spans="1:12">
      <c r="A46" t="s">
        <v>251</v>
      </c>
      <c r="B46" s="3" t="s">
        <v>252</v>
      </c>
      <c r="C46" t="s">
        <v>253</v>
      </c>
      <c r="D46" s="21">
        <v>2030</v>
      </c>
      <c r="E46" s="21" t="s">
        <v>280</v>
      </c>
      <c r="F46" t="s">
        <v>281</v>
      </c>
      <c r="G46">
        <v>2021</v>
      </c>
      <c r="H46" s="16">
        <v>2005</v>
      </c>
      <c r="I46" s="60">
        <v>26566330</v>
      </c>
      <c r="J46" t="s">
        <v>142</v>
      </c>
      <c r="K46">
        <v>2030</v>
      </c>
      <c r="L46" s="59">
        <v>1</v>
      </c>
    </row>
    <row r="47" spans="1:12">
      <c r="A47" t="s">
        <v>257</v>
      </c>
      <c r="B47" s="3" t="s">
        <v>258</v>
      </c>
      <c r="C47" t="s">
        <v>259</v>
      </c>
      <c r="D47" s="21">
        <v>2050</v>
      </c>
      <c r="E47" s="21" t="s">
        <v>66</v>
      </c>
      <c r="F47" t="s">
        <v>281</v>
      </c>
      <c r="G47">
        <v>2020</v>
      </c>
      <c r="H47" s="16">
        <v>2019</v>
      </c>
      <c r="I47" s="72">
        <v>0.80243130614229874</v>
      </c>
      <c r="J47" t="s">
        <v>285</v>
      </c>
      <c r="K47">
        <v>2030</v>
      </c>
      <c r="L47" s="59">
        <v>0.5</v>
      </c>
    </row>
    <row r="48" spans="1:12">
      <c r="A48" t="s">
        <v>260</v>
      </c>
      <c r="B48" s="3" t="s">
        <v>261</v>
      </c>
      <c r="C48" t="s">
        <v>262</v>
      </c>
      <c r="D48" s="21">
        <v>2050</v>
      </c>
      <c r="E48" s="21" t="s">
        <v>66</v>
      </c>
      <c r="F48" t="s">
        <v>281</v>
      </c>
      <c r="G48">
        <v>2020</v>
      </c>
      <c r="H48" s="16">
        <v>2007</v>
      </c>
      <c r="I48" s="72">
        <v>0.98420553538837829</v>
      </c>
      <c r="J48" t="s">
        <v>285</v>
      </c>
      <c r="K48">
        <v>2030</v>
      </c>
      <c r="L48" s="59">
        <v>0.5</v>
      </c>
    </row>
    <row r="49" spans="1:12">
      <c r="A49" t="s">
        <v>254</v>
      </c>
      <c r="B49" s="3" t="s">
        <v>255</v>
      </c>
      <c r="C49" t="s">
        <v>256</v>
      </c>
      <c r="D49" s="21">
        <v>2050</v>
      </c>
      <c r="E49" s="21" t="s">
        <v>66</v>
      </c>
      <c r="F49" t="s">
        <v>281</v>
      </c>
      <c r="G49">
        <v>2021</v>
      </c>
      <c r="H49" s="16">
        <v>2018</v>
      </c>
      <c r="I49">
        <v>5.162928</v>
      </c>
      <c r="J49" t="s">
        <v>284</v>
      </c>
      <c r="K49">
        <v>2025</v>
      </c>
      <c r="L49" s="59">
        <v>0.2</v>
      </c>
    </row>
    <row r="50" spans="1:12">
      <c r="A50" t="s">
        <v>254</v>
      </c>
      <c r="B50" s="3" t="s">
        <v>255</v>
      </c>
      <c r="C50" t="s">
        <v>256</v>
      </c>
      <c r="D50" s="21">
        <v>2050</v>
      </c>
      <c r="E50" s="21" t="s">
        <v>66</v>
      </c>
      <c r="F50" t="s">
        <v>281</v>
      </c>
      <c r="G50">
        <v>2021</v>
      </c>
      <c r="H50" s="16">
        <v>2018</v>
      </c>
      <c r="I50">
        <v>5.162928</v>
      </c>
      <c r="J50" t="s">
        <v>284</v>
      </c>
      <c r="K50">
        <v>2030</v>
      </c>
      <c r="L50" s="59">
        <v>0.3</v>
      </c>
    </row>
    <row r="51" spans="1:12">
      <c r="A51" t="s">
        <v>263</v>
      </c>
      <c r="B51" s="3" t="s">
        <v>264</v>
      </c>
      <c r="C51" t="s">
        <v>265</v>
      </c>
      <c r="D51" s="21">
        <v>2050</v>
      </c>
      <c r="E51" s="21" t="s">
        <v>66</v>
      </c>
      <c r="F51" t="s">
        <v>281</v>
      </c>
      <c r="G51">
        <v>2020</v>
      </c>
      <c r="H51" s="16">
        <v>2019</v>
      </c>
      <c r="I51" s="72">
        <v>0.46760301224942979</v>
      </c>
      <c r="J51" t="s">
        <v>285</v>
      </c>
      <c r="K51">
        <v>2030</v>
      </c>
      <c r="L51" s="59">
        <v>0.3</v>
      </c>
    </row>
    <row r="52" spans="1:12">
      <c r="A52" t="s">
        <v>266</v>
      </c>
      <c r="B52" s="3" t="s">
        <v>267</v>
      </c>
      <c r="C52" t="s">
        <v>268</v>
      </c>
      <c r="E52" s="21" t="s">
        <v>66</v>
      </c>
      <c r="F52" t="s">
        <v>281</v>
      </c>
      <c r="G52">
        <v>2021</v>
      </c>
      <c r="H52" s="16">
        <v>2018</v>
      </c>
      <c r="I52" s="72">
        <v>2.9</v>
      </c>
      <c r="J52" t="s">
        <v>284</v>
      </c>
      <c r="K52">
        <v>2030</v>
      </c>
      <c r="L52" s="59">
        <v>0.3</v>
      </c>
    </row>
    <row r="53" spans="1:12">
      <c r="A53" t="s">
        <v>270</v>
      </c>
      <c r="B53" s="3" t="s">
        <v>271</v>
      </c>
      <c r="C53" t="s">
        <v>272</v>
      </c>
      <c r="E53" s="21" t="s">
        <v>66</v>
      </c>
      <c r="F53" t="s">
        <v>281</v>
      </c>
      <c r="G53">
        <v>2021</v>
      </c>
      <c r="H53" s="16">
        <v>2018</v>
      </c>
      <c r="I53" s="72">
        <v>0.42172199999999999</v>
      </c>
      <c r="J53" t="s">
        <v>284</v>
      </c>
      <c r="K53">
        <v>2030</v>
      </c>
      <c r="L53" s="59">
        <v>0.4</v>
      </c>
    </row>
    <row r="54" spans="1:12">
      <c r="A54" t="s">
        <v>273</v>
      </c>
      <c r="B54" s="3" t="s">
        <v>274</v>
      </c>
      <c r="C54" t="s">
        <v>275</v>
      </c>
      <c r="E54" s="21" t="s">
        <v>66</v>
      </c>
      <c r="F54" t="s">
        <v>281</v>
      </c>
      <c r="G54">
        <v>2020</v>
      </c>
      <c r="H54" s="16">
        <v>2018</v>
      </c>
      <c r="I54" s="72">
        <v>0.315911</v>
      </c>
      <c r="J54" t="s">
        <v>284</v>
      </c>
      <c r="K54">
        <v>2030</v>
      </c>
      <c r="L54" s="59">
        <v>0.2</v>
      </c>
    </row>
    <row r="55" spans="1:12">
      <c r="A55" t="s">
        <v>276</v>
      </c>
      <c r="B55" s="3" t="s">
        <v>277</v>
      </c>
      <c r="C55" t="s">
        <v>278</v>
      </c>
      <c r="D55" s="21">
        <v>2050</v>
      </c>
      <c r="E55" s="21" t="s">
        <v>66</v>
      </c>
      <c r="F55" t="s">
        <v>281</v>
      </c>
      <c r="G55">
        <v>2020</v>
      </c>
      <c r="H55" s="16">
        <v>2005</v>
      </c>
      <c r="I55" s="72">
        <v>0.88086205923584682</v>
      </c>
      <c r="J55" t="s">
        <v>285</v>
      </c>
      <c r="K55">
        <v>2030</v>
      </c>
      <c r="L55" s="59">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topLeftCell="A52" zoomScaleNormal="100" workbookViewId="0"/>
  </sheetViews>
  <sheetFormatPr baseColWidth="10" defaultColWidth="8.83203125" defaultRowHeight="15"/>
  <cols>
    <col min="1" max="1" width="17.5" style="27" bestFit="1" customWidth="1"/>
    <col min="2" max="3" width="21.6640625" style="5" customWidth="1"/>
    <col min="4" max="4" width="44" customWidth="1"/>
    <col min="5" max="5" width="25.1640625" bestFit="1" customWidth="1"/>
    <col min="6" max="6" width="26.6640625" customWidth="1"/>
    <col min="8" max="8" width="87.6640625" customWidth="1"/>
  </cols>
  <sheetData>
    <row r="1" spans="1:6" ht="17" thickBot="1">
      <c r="A1" s="30" t="s">
        <v>12</v>
      </c>
      <c r="B1" s="31" t="s">
        <v>0</v>
      </c>
      <c r="C1" s="31" t="s">
        <v>139</v>
      </c>
      <c r="D1" s="13" t="s">
        <v>3</v>
      </c>
      <c r="E1" s="12" t="s">
        <v>5</v>
      </c>
      <c r="F1" s="14" t="s">
        <v>9</v>
      </c>
    </row>
    <row r="2" spans="1:6" ht="16">
      <c r="A2" s="32" t="s">
        <v>13</v>
      </c>
      <c r="B2" s="26" t="s">
        <v>56</v>
      </c>
      <c r="C2" s="51" t="s">
        <v>138</v>
      </c>
      <c r="D2" s="5" t="s">
        <v>2</v>
      </c>
      <c r="E2" t="s">
        <v>4</v>
      </c>
      <c r="F2" t="s">
        <v>10</v>
      </c>
    </row>
    <row r="3" spans="1:6" ht="16">
      <c r="A3" s="32" t="s">
        <v>13</v>
      </c>
      <c r="B3" s="33" t="s">
        <v>57</v>
      </c>
      <c r="C3" s="51" t="s">
        <v>138</v>
      </c>
      <c r="D3" s="23" t="s">
        <v>79</v>
      </c>
      <c r="E3" s="24" t="s">
        <v>4</v>
      </c>
      <c r="F3" s="24" t="s">
        <v>26</v>
      </c>
    </row>
    <row r="4" spans="1:6" ht="32">
      <c r="A4" s="32" t="s">
        <v>13</v>
      </c>
      <c r="B4" s="26" t="s">
        <v>1</v>
      </c>
      <c r="C4" s="51" t="s">
        <v>138</v>
      </c>
      <c r="D4" s="5" t="s">
        <v>80</v>
      </c>
      <c r="E4" t="s">
        <v>4</v>
      </c>
      <c r="F4" t="s">
        <v>10</v>
      </c>
    </row>
    <row r="5" spans="1:6" ht="32">
      <c r="A5" s="32" t="s">
        <v>13</v>
      </c>
      <c r="B5" s="26" t="s">
        <v>6</v>
      </c>
      <c r="C5" s="51" t="s">
        <v>138</v>
      </c>
      <c r="D5" s="5" t="s">
        <v>8</v>
      </c>
      <c r="E5" t="s">
        <v>4</v>
      </c>
      <c r="F5" t="s">
        <v>10</v>
      </c>
    </row>
    <row r="6" spans="1:6" ht="48">
      <c r="A6" s="32" t="s">
        <v>13</v>
      </c>
      <c r="B6" s="33" t="s">
        <v>7</v>
      </c>
      <c r="C6" s="51" t="s">
        <v>138</v>
      </c>
      <c r="D6" s="23" t="s">
        <v>81</v>
      </c>
      <c r="E6" s="24" t="s">
        <v>4</v>
      </c>
      <c r="F6" s="24" t="s">
        <v>26</v>
      </c>
    </row>
    <row r="7" spans="1:6" ht="16">
      <c r="A7" s="32" t="s">
        <v>13</v>
      </c>
      <c r="B7" s="26" t="s">
        <v>27</v>
      </c>
      <c r="C7" s="51" t="s">
        <v>138</v>
      </c>
      <c r="D7" s="1" t="s">
        <v>28</v>
      </c>
      <c r="E7" t="s">
        <v>96</v>
      </c>
      <c r="F7" t="s">
        <v>10</v>
      </c>
    </row>
    <row r="8" spans="1:6" ht="16">
      <c r="A8" s="32" t="s">
        <v>13</v>
      </c>
      <c r="B8" s="26" t="s">
        <v>31</v>
      </c>
      <c r="C8" s="51" t="s">
        <v>138</v>
      </c>
      <c r="D8" s="1" t="s">
        <v>82</v>
      </c>
      <c r="E8" t="s">
        <v>93</v>
      </c>
      <c r="F8" t="s">
        <v>10</v>
      </c>
    </row>
    <row r="9" spans="1:6" ht="32">
      <c r="A9" s="32" t="s">
        <v>13</v>
      </c>
      <c r="B9" s="26" t="s">
        <v>63</v>
      </c>
      <c r="C9" s="51" t="s">
        <v>138</v>
      </c>
      <c r="D9" s="5" t="s">
        <v>83</v>
      </c>
      <c r="E9" t="s">
        <v>4</v>
      </c>
      <c r="F9" t="s">
        <v>10</v>
      </c>
    </row>
    <row r="10" spans="1:6" ht="16">
      <c r="A10" s="32" t="s">
        <v>13</v>
      </c>
      <c r="B10" s="34" t="s">
        <v>42</v>
      </c>
      <c r="C10" s="51" t="s">
        <v>138</v>
      </c>
      <c r="D10" s="5" t="s">
        <v>84</v>
      </c>
      <c r="E10" t="s">
        <v>95</v>
      </c>
      <c r="F10" t="s">
        <v>10</v>
      </c>
    </row>
    <row r="11" spans="1:6" ht="16">
      <c r="A11" s="32" t="s">
        <v>13</v>
      </c>
      <c r="B11" s="26" t="s">
        <v>39</v>
      </c>
      <c r="C11" s="51" t="s">
        <v>138</v>
      </c>
      <c r="D11" s="1" t="s">
        <v>76</v>
      </c>
      <c r="E11" t="s">
        <v>11</v>
      </c>
      <c r="F11" t="s">
        <v>10</v>
      </c>
    </row>
    <row r="12" spans="1:6" ht="16">
      <c r="A12" s="32" t="s">
        <v>13</v>
      </c>
      <c r="B12" s="26" t="s">
        <v>38</v>
      </c>
      <c r="C12" s="51" t="s">
        <v>138</v>
      </c>
      <c r="D12" s="1" t="s">
        <v>77</v>
      </c>
      <c r="E12" t="s">
        <v>11</v>
      </c>
      <c r="F12" t="s">
        <v>10</v>
      </c>
    </row>
    <row r="13" spans="1:6" ht="16">
      <c r="A13" s="32" t="s">
        <v>13</v>
      </c>
      <c r="B13" s="26" t="s">
        <v>40</v>
      </c>
      <c r="C13" s="51" t="s">
        <v>138</v>
      </c>
      <c r="D13" s="1" t="s">
        <v>75</v>
      </c>
      <c r="E13" t="s">
        <v>11</v>
      </c>
      <c r="F13" t="s">
        <v>10</v>
      </c>
    </row>
    <row r="14" spans="1:6" ht="32">
      <c r="A14" s="32" t="s">
        <v>13</v>
      </c>
      <c r="B14" s="26" t="s">
        <v>29</v>
      </c>
      <c r="C14" s="51" t="s">
        <v>138</v>
      </c>
      <c r="D14" s="1" t="s">
        <v>78</v>
      </c>
      <c r="E14" t="s">
        <v>11</v>
      </c>
      <c r="F14" t="s">
        <v>10</v>
      </c>
    </row>
    <row r="15" spans="1:6" ht="16">
      <c r="A15" s="32" t="s">
        <v>13</v>
      </c>
      <c r="B15" s="26" t="s">
        <v>41</v>
      </c>
      <c r="C15" s="51" t="s">
        <v>138</v>
      </c>
      <c r="D15" t="s">
        <v>85</v>
      </c>
      <c r="E15" t="s">
        <v>11</v>
      </c>
      <c r="F15" t="s">
        <v>10</v>
      </c>
    </row>
    <row r="16" spans="1:6" s="27" customFormat="1" ht="72.75" customHeight="1">
      <c r="A16" s="37" t="s">
        <v>130</v>
      </c>
      <c r="B16" s="26" t="s">
        <v>132</v>
      </c>
      <c r="C16" s="51" t="s">
        <v>138</v>
      </c>
      <c r="D16" s="5" t="s">
        <v>133</v>
      </c>
      <c r="E16" s="49" t="s">
        <v>135</v>
      </c>
      <c r="F16" s="27" t="s">
        <v>10</v>
      </c>
    </row>
    <row r="17" spans="1:6" s="27" customFormat="1" ht="72.75" customHeight="1">
      <c r="A17" s="37" t="s">
        <v>131</v>
      </c>
      <c r="B17" s="26" t="s">
        <v>127</v>
      </c>
      <c r="C17" s="51" t="s">
        <v>138</v>
      </c>
      <c r="D17" s="5" t="s">
        <v>134</v>
      </c>
      <c r="E17" s="5" t="s">
        <v>136</v>
      </c>
      <c r="F17" s="27" t="s">
        <v>10</v>
      </c>
    </row>
    <row r="18" spans="1:6" ht="32">
      <c r="A18" s="25" t="s">
        <v>15</v>
      </c>
      <c r="B18" s="38" t="s">
        <v>16</v>
      </c>
      <c r="C18" s="51" t="s">
        <v>138</v>
      </c>
      <c r="D18" s="1" t="s">
        <v>89</v>
      </c>
      <c r="E18" t="s">
        <v>87</v>
      </c>
      <c r="F18" t="s">
        <v>10</v>
      </c>
    </row>
    <row r="19" spans="1:6" ht="32">
      <c r="A19" s="25" t="s">
        <v>15</v>
      </c>
      <c r="B19" s="38" t="s">
        <v>17</v>
      </c>
      <c r="C19" s="51" t="s">
        <v>138</v>
      </c>
      <c r="D19" s="1" t="s">
        <v>89</v>
      </c>
      <c r="E19" t="s">
        <v>87</v>
      </c>
      <c r="F19" t="s">
        <v>10</v>
      </c>
    </row>
    <row r="20" spans="1:6" ht="32">
      <c r="A20" s="25" t="s">
        <v>15</v>
      </c>
      <c r="B20" s="38" t="s">
        <v>18</v>
      </c>
      <c r="C20" s="51" t="s">
        <v>138</v>
      </c>
      <c r="D20" s="1" t="s">
        <v>89</v>
      </c>
      <c r="E20" t="s">
        <v>87</v>
      </c>
      <c r="F20" t="s">
        <v>10</v>
      </c>
    </row>
    <row r="21" spans="1:6" ht="32">
      <c r="A21" s="25" t="s">
        <v>15</v>
      </c>
      <c r="B21" s="38" t="s">
        <v>19</v>
      </c>
      <c r="C21" s="51" t="s">
        <v>138</v>
      </c>
      <c r="D21" s="1" t="s">
        <v>89</v>
      </c>
      <c r="E21" t="s">
        <v>87</v>
      </c>
      <c r="F21" t="s">
        <v>10</v>
      </c>
    </row>
    <row r="22" spans="1:6" ht="32">
      <c r="A22" s="25" t="s">
        <v>15</v>
      </c>
      <c r="B22" s="38" t="s">
        <v>20</v>
      </c>
      <c r="C22" s="51" t="s">
        <v>138</v>
      </c>
      <c r="D22" s="1" t="s">
        <v>89</v>
      </c>
      <c r="E22" t="s">
        <v>87</v>
      </c>
      <c r="F22" t="s">
        <v>10</v>
      </c>
    </row>
    <row r="23" spans="1:6" ht="32">
      <c r="A23" s="25" t="s">
        <v>15</v>
      </c>
      <c r="B23" s="38" t="s">
        <v>44</v>
      </c>
      <c r="C23" s="51" t="s">
        <v>138</v>
      </c>
      <c r="D23" s="1" t="s">
        <v>105</v>
      </c>
      <c r="E23" t="s">
        <v>87</v>
      </c>
      <c r="F23" t="s">
        <v>26</v>
      </c>
    </row>
    <row r="24" spans="1:6" ht="48">
      <c r="A24" s="25" t="s">
        <v>15</v>
      </c>
      <c r="B24" s="38" t="s">
        <v>51</v>
      </c>
      <c r="C24" s="51" t="s">
        <v>138</v>
      </c>
      <c r="D24" s="44" t="s">
        <v>107</v>
      </c>
      <c r="E24" s="45" t="s">
        <v>87</v>
      </c>
      <c r="F24" s="44" t="s">
        <v>106</v>
      </c>
    </row>
    <row r="25" spans="1:6" ht="32">
      <c r="A25" s="25" t="s">
        <v>15</v>
      </c>
      <c r="B25" s="39" t="s">
        <v>21</v>
      </c>
      <c r="C25" s="51" t="s">
        <v>138</v>
      </c>
      <c r="D25" s="1" t="s">
        <v>90</v>
      </c>
      <c r="E25" t="s">
        <v>87</v>
      </c>
      <c r="F25" t="s">
        <v>10</v>
      </c>
    </row>
    <row r="26" spans="1:6" ht="32">
      <c r="A26" s="25" t="s">
        <v>15</v>
      </c>
      <c r="B26" s="39" t="s">
        <v>22</v>
      </c>
      <c r="C26" s="51" t="s">
        <v>138</v>
      </c>
      <c r="D26" s="1" t="s">
        <v>90</v>
      </c>
      <c r="E26" t="s">
        <v>87</v>
      </c>
      <c r="F26" t="s">
        <v>10</v>
      </c>
    </row>
    <row r="27" spans="1:6" ht="32">
      <c r="A27" s="25" t="s">
        <v>15</v>
      </c>
      <c r="B27" s="39" t="s">
        <v>23</v>
      </c>
      <c r="C27" s="51" t="s">
        <v>138</v>
      </c>
      <c r="D27" s="1" t="s">
        <v>90</v>
      </c>
      <c r="E27" t="s">
        <v>87</v>
      </c>
      <c r="F27" t="s">
        <v>10</v>
      </c>
    </row>
    <row r="28" spans="1:6" ht="32">
      <c r="A28" s="25" t="s">
        <v>15</v>
      </c>
      <c r="B28" s="39" t="s">
        <v>24</v>
      </c>
      <c r="C28" s="51" t="s">
        <v>138</v>
      </c>
      <c r="D28" s="1" t="s">
        <v>90</v>
      </c>
      <c r="E28" t="s">
        <v>87</v>
      </c>
      <c r="F28" t="s">
        <v>10</v>
      </c>
    </row>
    <row r="29" spans="1:6" ht="32">
      <c r="A29" s="25" t="s">
        <v>15</v>
      </c>
      <c r="B29" s="39" t="s">
        <v>25</v>
      </c>
      <c r="C29" s="51" t="s">
        <v>138</v>
      </c>
      <c r="D29" s="1" t="s">
        <v>90</v>
      </c>
      <c r="E29" t="s">
        <v>87</v>
      </c>
      <c r="F29" t="s">
        <v>10</v>
      </c>
    </row>
    <row r="30" spans="1:6" ht="32">
      <c r="A30" s="25" t="s">
        <v>15</v>
      </c>
      <c r="B30" s="39" t="s">
        <v>30</v>
      </c>
      <c r="C30" s="51" t="s">
        <v>138</v>
      </c>
      <c r="D30" s="1" t="s">
        <v>108</v>
      </c>
      <c r="E30" t="s">
        <v>87</v>
      </c>
      <c r="F30" t="s">
        <v>26</v>
      </c>
    </row>
    <row r="31" spans="1:6" ht="48">
      <c r="A31" s="25" t="s">
        <v>15</v>
      </c>
      <c r="B31" s="39" t="s">
        <v>52</v>
      </c>
      <c r="C31" s="51" t="s">
        <v>138</v>
      </c>
      <c r="D31" s="44" t="s">
        <v>109</v>
      </c>
      <c r="E31" s="45" t="s">
        <v>87</v>
      </c>
      <c r="F31" s="44" t="s">
        <v>106</v>
      </c>
    </row>
    <row r="32" spans="1:6" ht="32">
      <c r="A32" s="25" t="s">
        <v>15</v>
      </c>
      <c r="B32" s="38" t="s">
        <v>45</v>
      </c>
      <c r="C32" s="51" t="s">
        <v>138</v>
      </c>
      <c r="D32" s="1" t="s">
        <v>86</v>
      </c>
      <c r="E32" t="s">
        <v>87</v>
      </c>
      <c r="F32" t="s">
        <v>10</v>
      </c>
    </row>
    <row r="33" spans="1:6" ht="32">
      <c r="A33" s="25" t="s">
        <v>15</v>
      </c>
      <c r="B33" s="38" t="s">
        <v>46</v>
      </c>
      <c r="C33" s="51" t="s">
        <v>138</v>
      </c>
      <c r="D33" s="1" t="s">
        <v>86</v>
      </c>
      <c r="E33" t="s">
        <v>87</v>
      </c>
      <c r="F33" t="s">
        <v>10</v>
      </c>
    </row>
    <row r="34" spans="1:6" ht="32">
      <c r="A34" s="25" t="s">
        <v>15</v>
      </c>
      <c r="B34" s="38" t="s">
        <v>47</v>
      </c>
      <c r="C34" s="51" t="s">
        <v>138</v>
      </c>
      <c r="D34" s="1" t="s">
        <v>86</v>
      </c>
      <c r="E34" t="s">
        <v>87</v>
      </c>
      <c r="F34" t="s">
        <v>10</v>
      </c>
    </row>
    <row r="35" spans="1:6" ht="32">
      <c r="A35" s="25" t="s">
        <v>15</v>
      </c>
      <c r="B35" s="38" t="s">
        <v>48</v>
      </c>
      <c r="C35" s="51" t="s">
        <v>138</v>
      </c>
      <c r="D35" s="1" t="s">
        <v>86</v>
      </c>
      <c r="E35" t="s">
        <v>87</v>
      </c>
      <c r="F35" t="s">
        <v>10</v>
      </c>
    </row>
    <row r="36" spans="1:6" ht="32">
      <c r="A36" s="25" t="s">
        <v>15</v>
      </c>
      <c r="B36" s="38" t="s">
        <v>49</v>
      </c>
      <c r="C36" s="51" t="s">
        <v>138</v>
      </c>
      <c r="D36" s="1" t="s">
        <v>86</v>
      </c>
      <c r="E36" t="s">
        <v>87</v>
      </c>
      <c r="F36" t="s">
        <v>10</v>
      </c>
    </row>
    <row r="37" spans="1:6" ht="32">
      <c r="A37" s="25" t="s">
        <v>15</v>
      </c>
      <c r="B37" s="38" t="s">
        <v>50</v>
      </c>
      <c r="C37" s="51" t="s">
        <v>138</v>
      </c>
      <c r="D37" s="1" t="s">
        <v>110</v>
      </c>
      <c r="E37" t="s">
        <v>87</v>
      </c>
      <c r="F37" t="s">
        <v>26</v>
      </c>
    </row>
    <row r="38" spans="1:6" ht="48">
      <c r="A38" s="25" t="s">
        <v>15</v>
      </c>
      <c r="B38" s="38" t="s">
        <v>53</v>
      </c>
      <c r="C38" s="51" t="s">
        <v>138</v>
      </c>
      <c r="D38" s="44" t="s">
        <v>111</v>
      </c>
      <c r="E38" s="45" t="s">
        <v>87</v>
      </c>
      <c r="F38" s="44" t="s">
        <v>106</v>
      </c>
    </row>
    <row r="39" spans="1:6" ht="32">
      <c r="A39" s="25" t="s">
        <v>15</v>
      </c>
      <c r="B39" s="40" t="s">
        <v>67</v>
      </c>
      <c r="C39" s="51" t="s">
        <v>138</v>
      </c>
      <c r="D39" s="1" t="s">
        <v>91</v>
      </c>
      <c r="E39" t="s">
        <v>87</v>
      </c>
      <c r="F39" t="s">
        <v>10</v>
      </c>
    </row>
    <row r="40" spans="1:6" ht="32">
      <c r="A40" s="25" t="s">
        <v>15</v>
      </c>
      <c r="B40" s="40" t="s">
        <v>68</v>
      </c>
      <c r="C40" s="51" t="s">
        <v>138</v>
      </c>
      <c r="D40" s="1" t="s">
        <v>91</v>
      </c>
      <c r="E40" t="s">
        <v>87</v>
      </c>
      <c r="F40" t="s">
        <v>10</v>
      </c>
    </row>
    <row r="41" spans="1:6" ht="32">
      <c r="A41" s="25" t="s">
        <v>15</v>
      </c>
      <c r="B41" s="40" t="s">
        <v>69</v>
      </c>
      <c r="C41" s="51" t="s">
        <v>138</v>
      </c>
      <c r="D41" s="1" t="s">
        <v>91</v>
      </c>
      <c r="E41" t="s">
        <v>87</v>
      </c>
      <c r="F41" t="s">
        <v>10</v>
      </c>
    </row>
    <row r="42" spans="1:6" ht="32">
      <c r="A42" s="25" t="s">
        <v>15</v>
      </c>
      <c r="B42" s="40" t="s">
        <v>70</v>
      </c>
      <c r="C42" s="51" t="s">
        <v>138</v>
      </c>
      <c r="D42" s="1" t="s">
        <v>91</v>
      </c>
      <c r="E42" t="s">
        <v>87</v>
      </c>
      <c r="F42" t="s">
        <v>10</v>
      </c>
    </row>
    <row r="43" spans="1:6" ht="32">
      <c r="A43" s="25" t="s">
        <v>15</v>
      </c>
      <c r="B43" s="40" t="s">
        <v>71</v>
      </c>
      <c r="C43" s="51" t="s">
        <v>138</v>
      </c>
      <c r="D43" s="1" t="s">
        <v>91</v>
      </c>
      <c r="E43" t="s">
        <v>87</v>
      </c>
      <c r="F43" t="s">
        <v>10</v>
      </c>
    </row>
    <row r="44" spans="1:6" ht="32">
      <c r="A44" s="25" t="s">
        <v>15</v>
      </c>
      <c r="B44" s="40" t="s">
        <v>72</v>
      </c>
      <c r="C44" s="51" t="s">
        <v>138</v>
      </c>
      <c r="D44" s="1" t="s">
        <v>112</v>
      </c>
      <c r="E44" t="s">
        <v>87</v>
      </c>
      <c r="F44" t="s">
        <v>26</v>
      </c>
    </row>
    <row r="45" spans="1:6" ht="48">
      <c r="A45" s="25" t="s">
        <v>15</v>
      </c>
      <c r="B45" s="40" t="s">
        <v>73</v>
      </c>
      <c r="C45" s="51" t="s">
        <v>138</v>
      </c>
      <c r="D45" s="44" t="s">
        <v>113</v>
      </c>
      <c r="E45" s="45" t="s">
        <v>87</v>
      </c>
      <c r="F45" s="44" t="s">
        <v>106</v>
      </c>
    </row>
    <row r="46" spans="1:6" ht="32">
      <c r="A46" s="41" t="s">
        <v>74</v>
      </c>
      <c r="B46" s="26" t="s">
        <v>32</v>
      </c>
      <c r="C46" s="51" t="s">
        <v>138</v>
      </c>
      <c r="D46" s="1" t="s">
        <v>88</v>
      </c>
      <c r="E46" t="s">
        <v>87</v>
      </c>
      <c r="F46" t="s">
        <v>10</v>
      </c>
    </row>
    <row r="47" spans="1:6" ht="32">
      <c r="A47" s="41" t="s">
        <v>74</v>
      </c>
      <c r="B47" s="26" t="s">
        <v>33</v>
      </c>
      <c r="C47" s="51" t="s">
        <v>138</v>
      </c>
      <c r="D47" s="1" t="s">
        <v>88</v>
      </c>
      <c r="E47" t="s">
        <v>87</v>
      </c>
      <c r="F47" t="s">
        <v>10</v>
      </c>
    </row>
    <row r="48" spans="1:6" ht="32">
      <c r="A48" s="41" t="s">
        <v>74</v>
      </c>
      <c r="B48" s="26" t="s">
        <v>34</v>
      </c>
      <c r="C48" s="51" t="s">
        <v>138</v>
      </c>
      <c r="D48" s="1" t="s">
        <v>88</v>
      </c>
      <c r="E48" t="s">
        <v>87</v>
      </c>
      <c r="F48" t="s">
        <v>10</v>
      </c>
    </row>
    <row r="49" spans="1:6" ht="32">
      <c r="A49" s="41" t="s">
        <v>74</v>
      </c>
      <c r="B49" s="26" t="s">
        <v>35</v>
      </c>
      <c r="C49" s="51" t="s">
        <v>138</v>
      </c>
      <c r="D49" s="1" t="s">
        <v>88</v>
      </c>
      <c r="E49" t="s">
        <v>87</v>
      </c>
      <c r="F49" t="s">
        <v>10</v>
      </c>
    </row>
    <row r="50" spans="1:6" ht="32">
      <c r="A50" s="41" t="s">
        <v>74</v>
      </c>
      <c r="B50" s="26" t="s">
        <v>36</v>
      </c>
      <c r="C50" s="51" t="s">
        <v>138</v>
      </c>
      <c r="D50" s="1" t="s">
        <v>88</v>
      </c>
      <c r="E50" t="s">
        <v>87</v>
      </c>
      <c r="F50" t="s">
        <v>10</v>
      </c>
    </row>
    <row r="51" spans="1:6" ht="32">
      <c r="A51" s="35" t="s">
        <v>14</v>
      </c>
      <c r="B51" s="26" t="s">
        <v>122</v>
      </c>
      <c r="C51" s="51" t="s">
        <v>140</v>
      </c>
      <c r="D51" s="1" t="s">
        <v>126</v>
      </c>
      <c r="E51" t="s">
        <v>92</v>
      </c>
      <c r="F51" t="s">
        <v>10</v>
      </c>
    </row>
    <row r="52" spans="1:6" ht="48">
      <c r="A52" s="35" t="s">
        <v>14</v>
      </c>
      <c r="B52" s="26" t="s">
        <v>123</v>
      </c>
      <c r="C52" s="51" t="s">
        <v>140</v>
      </c>
      <c r="D52" s="1" t="s">
        <v>125</v>
      </c>
      <c r="E52" t="s">
        <v>97</v>
      </c>
      <c r="F52" t="s">
        <v>10</v>
      </c>
    </row>
    <row r="53" spans="1:6" ht="16">
      <c r="A53" s="35" t="s">
        <v>14</v>
      </c>
      <c r="B53" s="33" t="s">
        <v>124</v>
      </c>
      <c r="C53" s="51" t="s">
        <v>140</v>
      </c>
      <c r="D53" s="46" t="s">
        <v>101</v>
      </c>
      <c r="E53" s="24" t="s">
        <v>94</v>
      </c>
      <c r="F53" s="24" t="s">
        <v>26</v>
      </c>
    </row>
    <row r="54" spans="1:6" ht="16">
      <c r="A54" s="35" t="s">
        <v>14</v>
      </c>
      <c r="B54" s="26" t="s">
        <v>114</v>
      </c>
      <c r="C54" s="51" t="s">
        <v>140</v>
      </c>
      <c r="D54" s="1" t="s">
        <v>121</v>
      </c>
      <c r="E54" t="s">
        <v>94</v>
      </c>
      <c r="F54" t="s">
        <v>10</v>
      </c>
    </row>
    <row r="55" spans="1:6" ht="80">
      <c r="A55" s="35" t="s">
        <v>14</v>
      </c>
      <c r="B55" s="26" t="s">
        <v>115</v>
      </c>
      <c r="C55" s="51" t="s">
        <v>140</v>
      </c>
      <c r="D55" s="1" t="s">
        <v>104</v>
      </c>
      <c r="E55" t="s">
        <v>98</v>
      </c>
      <c r="F55" t="s">
        <v>10</v>
      </c>
    </row>
    <row r="56" spans="1:6" ht="64">
      <c r="A56" s="35" t="s">
        <v>14</v>
      </c>
      <c r="B56" s="26" t="s">
        <v>116</v>
      </c>
      <c r="C56" s="51" t="s">
        <v>140</v>
      </c>
      <c r="D56" s="5" t="s">
        <v>103</v>
      </c>
      <c r="E56" s="1" t="s">
        <v>99</v>
      </c>
      <c r="F56" t="s">
        <v>10</v>
      </c>
    </row>
    <row r="57" spans="1:6" ht="16">
      <c r="A57" s="35" t="s">
        <v>14</v>
      </c>
      <c r="B57" s="26" t="s">
        <v>117</v>
      </c>
      <c r="C57" s="51" t="s">
        <v>140</v>
      </c>
      <c r="D57" s="1" t="s">
        <v>120</v>
      </c>
      <c r="E57" t="s">
        <v>94</v>
      </c>
      <c r="F57" t="s">
        <v>10</v>
      </c>
    </row>
    <row r="58" spans="1:6" ht="32">
      <c r="A58" s="35" t="s">
        <v>14</v>
      </c>
      <c r="B58" s="26" t="s">
        <v>118</v>
      </c>
      <c r="C58" s="51" t="s">
        <v>140</v>
      </c>
      <c r="D58" s="1" t="s">
        <v>119</v>
      </c>
      <c r="E58" t="s">
        <v>43</v>
      </c>
      <c r="F58" t="s">
        <v>10</v>
      </c>
    </row>
    <row r="59" spans="1:6" ht="48">
      <c r="A59" s="36" t="s">
        <v>102</v>
      </c>
      <c r="B59" s="26" t="s">
        <v>55</v>
      </c>
      <c r="C59" s="51" t="s">
        <v>140</v>
      </c>
      <c r="D59" s="1" t="s">
        <v>100</v>
      </c>
      <c r="E59" t="s">
        <v>94</v>
      </c>
      <c r="F59"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4"/>
  <sheetViews>
    <sheetView zoomScaleNormal="100" workbookViewId="0">
      <selection activeCell="E12" sqref="E12"/>
    </sheetView>
  </sheetViews>
  <sheetFormatPr baseColWidth="10" defaultRowHeight="15"/>
  <cols>
    <col min="1" max="1" width="40.83203125" customWidth="1"/>
    <col min="2" max="2" width="22.6640625" customWidth="1"/>
    <col min="3" max="4" width="13.83203125" customWidth="1"/>
  </cols>
  <sheetData>
    <row r="1" spans="1:5">
      <c r="A1" s="69" t="s">
        <v>56</v>
      </c>
      <c r="B1" s="69" t="s">
        <v>57</v>
      </c>
      <c r="C1" s="69" t="s">
        <v>1</v>
      </c>
      <c r="D1" s="69" t="s">
        <v>288</v>
      </c>
      <c r="E1" s="69" t="s">
        <v>291</v>
      </c>
    </row>
    <row r="2" spans="1:5">
      <c r="A2" t="s">
        <v>58</v>
      </c>
      <c r="B2" s="3" t="s">
        <v>59</v>
      </c>
      <c r="C2" t="s">
        <v>60</v>
      </c>
      <c r="D2" t="s">
        <v>60</v>
      </c>
      <c r="E2">
        <v>194058</v>
      </c>
    </row>
    <row r="3" spans="1:5">
      <c r="A3" t="s">
        <v>144</v>
      </c>
      <c r="B3" s="3" t="s">
        <v>145</v>
      </c>
      <c r="C3" t="s">
        <v>146</v>
      </c>
      <c r="D3" t="s">
        <v>146</v>
      </c>
      <c r="E3">
        <v>35792</v>
      </c>
    </row>
    <row r="4" spans="1:5">
      <c r="A4" t="s">
        <v>149</v>
      </c>
      <c r="B4" s="3" t="s">
        <v>150</v>
      </c>
      <c r="C4" t="s">
        <v>151</v>
      </c>
      <c r="D4" t="s">
        <v>151</v>
      </c>
      <c r="E4">
        <v>212845</v>
      </c>
    </row>
    <row r="5" spans="1:5">
      <c r="A5" t="s">
        <v>152</v>
      </c>
      <c r="B5" s="3" t="s">
        <v>153</v>
      </c>
      <c r="C5" t="s">
        <v>154</v>
      </c>
      <c r="D5" t="s">
        <v>154</v>
      </c>
      <c r="E5">
        <v>217482</v>
      </c>
    </row>
    <row r="6" spans="1:5">
      <c r="A6" t="s">
        <v>155</v>
      </c>
      <c r="B6" s="3" t="s">
        <v>156</v>
      </c>
      <c r="C6" t="s">
        <v>157</v>
      </c>
      <c r="D6" t="s">
        <v>157</v>
      </c>
      <c r="E6">
        <v>75167</v>
      </c>
    </row>
    <row r="7" spans="1:5">
      <c r="A7" t="s">
        <v>158</v>
      </c>
      <c r="B7" s="3" t="s">
        <v>159</v>
      </c>
      <c r="C7" t="s">
        <v>160</v>
      </c>
      <c r="D7" t="s">
        <v>160</v>
      </c>
      <c r="E7">
        <v>93393</v>
      </c>
    </row>
    <row r="8" spans="1:5">
      <c r="A8" t="s">
        <v>161</v>
      </c>
      <c r="B8" s="3" t="s">
        <v>162</v>
      </c>
      <c r="C8" t="s">
        <v>163</v>
      </c>
      <c r="D8" t="s">
        <v>163</v>
      </c>
      <c r="E8">
        <v>146072</v>
      </c>
    </row>
    <row r="9" spans="1:5">
      <c r="A9" t="s">
        <v>164</v>
      </c>
      <c r="B9" s="3" t="s">
        <v>165</v>
      </c>
      <c r="C9" t="s">
        <v>166</v>
      </c>
      <c r="D9" t="s">
        <v>166</v>
      </c>
      <c r="E9">
        <v>205320</v>
      </c>
    </row>
    <row r="10" spans="1:5">
      <c r="A10" t="s">
        <v>169</v>
      </c>
      <c r="B10" s="3" t="s">
        <v>170</v>
      </c>
      <c r="C10" t="s">
        <v>171</v>
      </c>
      <c r="D10" t="s">
        <v>171</v>
      </c>
      <c r="E10">
        <v>59611</v>
      </c>
    </row>
    <row r="11" spans="1:5">
      <c r="A11" t="s">
        <v>172</v>
      </c>
      <c r="B11" s="3" t="s">
        <v>173</v>
      </c>
      <c r="C11" t="s">
        <v>174</v>
      </c>
      <c r="D11" t="s">
        <v>174</v>
      </c>
      <c r="E11">
        <v>133707</v>
      </c>
    </row>
    <row r="12" spans="1:5">
      <c r="A12" t="s">
        <v>175</v>
      </c>
      <c r="B12" s="3" t="s">
        <v>176</v>
      </c>
      <c r="C12" t="s">
        <v>177</v>
      </c>
      <c r="D12" t="s">
        <v>177</v>
      </c>
      <c r="E12">
        <v>212283</v>
      </c>
    </row>
    <row r="13" spans="1:5">
      <c r="A13" t="s">
        <v>178</v>
      </c>
      <c r="B13" s="3" t="s">
        <v>179</v>
      </c>
      <c r="C13" t="s">
        <v>180</v>
      </c>
      <c r="D13" t="s">
        <v>180</v>
      </c>
      <c r="E13">
        <v>211632</v>
      </c>
    </row>
    <row r="14" spans="1:5">
      <c r="A14" t="s">
        <v>181</v>
      </c>
      <c r="B14" s="3" t="s">
        <v>182</v>
      </c>
      <c r="C14" t="s">
        <v>183</v>
      </c>
      <c r="D14" t="s">
        <v>183</v>
      </c>
      <c r="E14">
        <v>122288</v>
      </c>
    </row>
    <row r="15" spans="1:5">
      <c r="A15" t="s">
        <v>184</v>
      </c>
      <c r="B15" s="3" t="s">
        <v>185</v>
      </c>
      <c r="C15" t="s">
        <v>186</v>
      </c>
      <c r="D15" t="s">
        <v>186</v>
      </c>
      <c r="E15">
        <v>192521</v>
      </c>
    </row>
    <row r="16" spans="1:5">
      <c r="A16" t="s">
        <v>187</v>
      </c>
      <c r="B16" s="3" t="s">
        <v>188</v>
      </c>
      <c r="C16" t="s">
        <v>189</v>
      </c>
      <c r="D16" t="s">
        <v>189</v>
      </c>
      <c r="E16">
        <v>57807</v>
      </c>
    </row>
    <row r="17" spans="1:5">
      <c r="A17" t="s">
        <v>190</v>
      </c>
      <c r="B17" s="3" t="s">
        <v>191</v>
      </c>
      <c r="C17" t="s">
        <v>192</v>
      </c>
      <c r="D17" t="s">
        <v>192</v>
      </c>
      <c r="E17">
        <v>234078</v>
      </c>
    </row>
    <row r="18" spans="1:5">
      <c r="A18" t="s">
        <v>193</v>
      </c>
      <c r="B18" s="3" t="s">
        <v>194</v>
      </c>
      <c r="C18" t="s">
        <v>195</v>
      </c>
      <c r="D18" t="s">
        <v>195</v>
      </c>
      <c r="E18">
        <v>194708</v>
      </c>
    </row>
    <row r="19" spans="1:5">
      <c r="A19" t="s">
        <v>196</v>
      </c>
      <c r="B19" s="3" t="s">
        <v>197</v>
      </c>
      <c r="C19" t="s">
        <v>198</v>
      </c>
      <c r="D19" t="s">
        <v>198</v>
      </c>
      <c r="E19">
        <v>39763</v>
      </c>
    </row>
    <row r="20" spans="1:5">
      <c r="A20" t="s">
        <v>199</v>
      </c>
      <c r="B20" s="3" t="s">
        <v>200</v>
      </c>
      <c r="C20" t="s">
        <v>201</v>
      </c>
      <c r="D20" t="s">
        <v>201</v>
      </c>
      <c r="E20">
        <v>100923</v>
      </c>
    </row>
    <row r="21" spans="1:5">
      <c r="A21" t="s">
        <v>202</v>
      </c>
      <c r="B21" s="3" t="s">
        <v>203</v>
      </c>
      <c r="C21" t="s">
        <v>204</v>
      </c>
      <c r="D21" t="s">
        <v>204</v>
      </c>
      <c r="E21">
        <v>47548</v>
      </c>
    </row>
    <row r="22" spans="1:5">
      <c r="A22" t="s">
        <v>205</v>
      </c>
      <c r="B22" s="3" t="s">
        <v>206</v>
      </c>
      <c r="C22" t="s">
        <v>207</v>
      </c>
      <c r="D22" t="s">
        <v>207</v>
      </c>
      <c r="E22">
        <v>46267</v>
      </c>
    </row>
    <row r="23" spans="1:5">
      <c r="A23" t="s">
        <v>208</v>
      </c>
      <c r="B23" s="3" t="s">
        <v>209</v>
      </c>
      <c r="C23" t="s">
        <v>210</v>
      </c>
      <c r="D23" t="s">
        <v>210</v>
      </c>
      <c r="E23">
        <v>85577</v>
      </c>
    </row>
    <row r="24" spans="1:5">
      <c r="A24" t="s">
        <v>212</v>
      </c>
      <c r="B24" s="3" t="s">
        <v>213</v>
      </c>
      <c r="C24" t="s">
        <v>214</v>
      </c>
      <c r="D24" t="s">
        <v>214</v>
      </c>
      <c r="E24">
        <v>246523</v>
      </c>
    </row>
    <row r="25" spans="1:5">
      <c r="A25" t="s">
        <v>215</v>
      </c>
      <c r="B25" s="3" t="s">
        <v>216</v>
      </c>
      <c r="C25" t="s">
        <v>217</v>
      </c>
      <c r="D25" t="s">
        <v>217</v>
      </c>
      <c r="E25">
        <v>130447</v>
      </c>
    </row>
    <row r="26" spans="1:5">
      <c r="A26" t="s">
        <v>218</v>
      </c>
      <c r="B26" s="3" t="s">
        <v>219</v>
      </c>
      <c r="C26" t="s">
        <v>220</v>
      </c>
      <c r="D26" t="s">
        <v>220</v>
      </c>
      <c r="E26">
        <v>109041</v>
      </c>
    </row>
    <row r="27" spans="1:5">
      <c r="A27" t="s">
        <v>221</v>
      </c>
      <c r="B27" s="3" t="s">
        <v>222</v>
      </c>
      <c r="C27" t="s">
        <v>223</v>
      </c>
      <c r="D27" t="s">
        <v>223</v>
      </c>
      <c r="E27">
        <v>57140</v>
      </c>
    </row>
    <row r="28" spans="1:5">
      <c r="A28" t="s">
        <v>226</v>
      </c>
      <c r="B28" s="3" t="s">
        <v>227</v>
      </c>
      <c r="C28" t="s">
        <v>228</v>
      </c>
      <c r="D28" t="s">
        <v>228</v>
      </c>
      <c r="E28">
        <v>134149</v>
      </c>
    </row>
    <row r="29" spans="1:5">
      <c r="A29" t="s">
        <v>229</v>
      </c>
      <c r="B29" s="3" t="s">
        <v>230</v>
      </c>
      <c r="C29" t="s">
        <v>231</v>
      </c>
      <c r="D29" t="s">
        <v>231</v>
      </c>
      <c r="E29">
        <v>198951</v>
      </c>
    </row>
    <row r="30" spans="1:5">
      <c r="A30" t="s">
        <v>232</v>
      </c>
      <c r="B30" s="3" t="s">
        <v>233</v>
      </c>
      <c r="C30" t="s">
        <v>234</v>
      </c>
      <c r="D30" t="s">
        <v>234</v>
      </c>
      <c r="E30">
        <v>143825</v>
      </c>
    </row>
    <row r="31" spans="1:5">
      <c r="A31" t="s">
        <v>235</v>
      </c>
      <c r="B31" s="3" t="s">
        <v>236</v>
      </c>
      <c r="C31" t="s">
        <v>237</v>
      </c>
      <c r="D31" t="s">
        <v>237</v>
      </c>
      <c r="E31">
        <v>166142</v>
      </c>
    </row>
    <row r="32" spans="1:5">
      <c r="A32" t="s">
        <v>238</v>
      </c>
      <c r="B32" s="3" t="s">
        <v>239</v>
      </c>
      <c r="C32" t="s">
        <v>240</v>
      </c>
      <c r="D32" t="s">
        <v>240</v>
      </c>
      <c r="E32">
        <v>132232</v>
      </c>
    </row>
    <row r="33" spans="1:5">
      <c r="A33" t="s">
        <v>242</v>
      </c>
      <c r="B33" s="3" t="s">
        <v>243</v>
      </c>
      <c r="C33" t="s">
        <v>244</v>
      </c>
      <c r="D33" t="s">
        <v>244</v>
      </c>
      <c r="E33">
        <v>128165</v>
      </c>
    </row>
    <row r="34" spans="1:5">
      <c r="A34" t="s">
        <v>245</v>
      </c>
      <c r="B34" s="3" t="s">
        <v>246</v>
      </c>
      <c r="C34" t="s">
        <v>247</v>
      </c>
      <c r="D34" t="s">
        <v>247</v>
      </c>
      <c r="E34">
        <v>44366</v>
      </c>
    </row>
    <row r="35" spans="1:5">
      <c r="A35" t="s">
        <v>248</v>
      </c>
      <c r="B35" s="3" t="s">
        <v>249</v>
      </c>
      <c r="C35" t="s">
        <v>250</v>
      </c>
      <c r="D35" t="s">
        <v>250</v>
      </c>
      <c r="E35">
        <v>85347</v>
      </c>
    </row>
    <row r="36" spans="1:5">
      <c r="A36" t="s">
        <v>251</v>
      </c>
      <c r="B36" s="3" t="s">
        <v>252</v>
      </c>
      <c r="C36" t="s">
        <v>253</v>
      </c>
      <c r="D36" t="s">
        <v>253</v>
      </c>
      <c r="E36">
        <v>175672</v>
      </c>
    </row>
    <row r="37" spans="1:5">
      <c r="A37" t="s">
        <v>257</v>
      </c>
      <c r="B37" s="3" t="s">
        <v>258</v>
      </c>
      <c r="C37" t="s">
        <v>259</v>
      </c>
      <c r="D37" t="s">
        <v>259</v>
      </c>
      <c r="E37">
        <v>158932</v>
      </c>
    </row>
    <row r="38" spans="1:5">
      <c r="A38" t="s">
        <v>260</v>
      </c>
      <c r="B38" s="3" t="s">
        <v>261</v>
      </c>
      <c r="C38" t="s">
        <v>262</v>
      </c>
      <c r="D38" t="s">
        <v>262</v>
      </c>
      <c r="E38">
        <v>210955</v>
      </c>
    </row>
    <row r="39" spans="1:5">
      <c r="A39" t="s">
        <v>254</v>
      </c>
      <c r="B39" s="3" t="s">
        <v>255</v>
      </c>
      <c r="C39" t="s">
        <v>256</v>
      </c>
      <c r="D39" t="s">
        <v>256</v>
      </c>
      <c r="E39">
        <v>222851</v>
      </c>
    </row>
    <row r="40" spans="1:5">
      <c r="A40" t="s">
        <v>263</v>
      </c>
      <c r="B40" s="3" t="s">
        <v>264</v>
      </c>
      <c r="C40" t="s">
        <v>265</v>
      </c>
      <c r="D40" t="s">
        <v>265</v>
      </c>
      <c r="E40">
        <v>234117</v>
      </c>
    </row>
    <row r="41" spans="1:5">
      <c r="A41" t="s">
        <v>266</v>
      </c>
      <c r="B41" s="3" t="s">
        <v>267</v>
      </c>
      <c r="C41" t="s">
        <v>268</v>
      </c>
      <c r="D41" t="s">
        <v>268</v>
      </c>
      <c r="E41">
        <v>222168</v>
      </c>
    </row>
    <row r="42" spans="1:5">
      <c r="A42" t="s">
        <v>270</v>
      </c>
      <c r="B42" s="3" t="s">
        <v>271</v>
      </c>
      <c r="C42" t="s">
        <v>272</v>
      </c>
      <c r="D42" t="s">
        <v>272</v>
      </c>
      <c r="E42">
        <v>208635</v>
      </c>
    </row>
    <row r="43" spans="1:5">
      <c r="A43" t="s">
        <v>273</v>
      </c>
      <c r="B43" s="3" t="s">
        <v>274</v>
      </c>
      <c r="C43" t="s">
        <v>275</v>
      </c>
      <c r="D43" t="s">
        <v>275</v>
      </c>
      <c r="E43">
        <v>82637</v>
      </c>
    </row>
    <row r="44" spans="1:5">
      <c r="A44" t="s">
        <v>276</v>
      </c>
      <c r="B44" s="3" t="s">
        <v>277</v>
      </c>
      <c r="C44" t="s">
        <v>278</v>
      </c>
      <c r="D44" t="s">
        <v>278</v>
      </c>
      <c r="E44">
        <v>168886</v>
      </c>
    </row>
  </sheetData>
  <pageMargins left="0.7" right="0.7" top="0.75" bottom="0.75" header="0.3" footer="0.3"/>
  <pageSetup orientation="portrait"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me </vt:lpstr>
      <vt:lpstr>ITR input data</vt:lpstr>
      <vt:lpstr>ITR target input data</vt:lpstr>
      <vt:lpstr>Definitions</vt:lpstr>
      <vt:lpstr>Portfolio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2023-05-02T15:44:39Z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2022-05-16T10:07:58Z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28018528-43ef-4e4a-8e4a-3dc102d70e77</vt:lpwstr>
  </property>
  <property fmtid="{D5CDD505-2E9C-101B-9397-08002B2CF9AE}" pid="10" name="MSIP_Label_1cf2588e-f000-43f9-af86-11fa810e993f_ContentBits">
    <vt:lpwstr>1</vt:lpwstr>
  </property>
</Properties>
</file>