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CAFA045B-994F-3742-B784-D5EF4B91AC90}" xr6:coauthVersionLast="47" xr6:coauthVersionMax="47" xr10:uidLastSave="{00000000-0000-0000-0000-000000000000}"/>
  <bookViews>
    <workbookView xWindow="0" yWindow="11700" windowWidth="48440" windowHeight="26600" tabRatio="500" activeTab="2"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10" i="3" l="1"/>
  <c r="AK77" i="2"/>
  <c r="AJ77" i="2"/>
  <c r="AE77" i="2"/>
  <c r="AI77" i="2"/>
  <c r="AH77" i="2"/>
  <c r="AG77" i="2"/>
  <c r="AF77" i="2"/>
  <c r="M77" i="2"/>
  <c r="M76" i="2"/>
  <c r="AK76" i="2"/>
  <c r="AJ76" i="2"/>
  <c r="AI76" i="2"/>
  <c r="AH76" i="2"/>
  <c r="AG76" i="2"/>
  <c r="AF76" i="2"/>
  <c r="AE76" i="2"/>
  <c r="AK7" i="2" l="1"/>
  <c r="AI7" i="2"/>
  <c r="AH7" i="2"/>
  <c r="AG7" i="2"/>
  <c r="AF7" i="2"/>
  <c r="AE7" i="2"/>
  <c r="V7" i="2"/>
  <c r="AJ7" i="2" s="1"/>
  <c r="M7" i="2"/>
  <c r="AQ72" i="2"/>
  <c r="AO72" i="2"/>
  <c r="T72" i="2"/>
  <c r="AV72" i="2"/>
  <c r="AW72" i="2"/>
  <c r="U72" i="2"/>
  <c r="M72" i="2"/>
  <c r="V72" i="2"/>
  <c r="V8" i="2"/>
  <c r="M8" i="2"/>
  <c r="AV19" i="2"/>
  <c r="AW19" i="2"/>
  <c r="AX19" i="2"/>
  <c r="AC19" i="2"/>
  <c r="AB19" i="2"/>
  <c r="AA19" i="2"/>
  <c r="V19" i="2"/>
  <c r="U19" i="2"/>
  <c r="T19" i="2"/>
  <c r="M19" i="2"/>
  <c r="AX22" i="2"/>
  <c r="M23" i="2"/>
  <c r="AT22" i="2"/>
  <c r="AU22" i="2"/>
  <c r="AV22" i="2"/>
  <c r="AW22" i="2"/>
  <c r="M17" i="2"/>
  <c r="L17" i="2"/>
  <c r="J17" i="2"/>
  <c r="J71" i="2"/>
  <c r="M65" i="2"/>
  <c r="L65" i="2"/>
  <c r="M63" i="2"/>
  <c r="L63" i="2"/>
  <c r="M62" i="2"/>
  <c r="L62" i="2"/>
  <c r="M50" i="2"/>
  <c r="L50" i="2"/>
  <c r="M45" i="2"/>
  <c r="L45" i="2"/>
  <c r="M39" i="2"/>
  <c r="L39" i="2"/>
  <c r="L16" i="2"/>
  <c r="AK64" i="2" l="1"/>
  <c r="AJ64" i="2"/>
  <c r="AI64" i="2"/>
  <c r="AH64" i="2"/>
  <c r="AG64" i="2"/>
  <c r="AF64" i="2"/>
  <c r="AE64" i="2"/>
  <c r="N64" i="2"/>
  <c r="L64" i="2"/>
  <c r="M64" i="2" s="1"/>
  <c r="K64" i="2"/>
  <c r="J95" i="3"/>
  <c r="AJ12" i="2"/>
  <c r="AB12" i="2"/>
  <c r="AI12" i="2" s="1"/>
  <c r="X12" i="2"/>
  <c r="AE12" i="2" s="1"/>
  <c r="Y12" i="2"/>
  <c r="AF12" i="2" s="1"/>
  <c r="Z12" i="2"/>
  <c r="AG12" i="2" s="1"/>
  <c r="AA12" i="2"/>
  <c r="AH12" i="2" s="1"/>
  <c r="AW68" i="2"/>
  <c r="AV68" i="2"/>
  <c r="AU68" i="2"/>
  <c r="AQ68" i="2"/>
  <c r="AX68" i="2" s="1"/>
  <c r="M86" i="3"/>
  <c r="M85" i="3"/>
  <c r="M84" i="3"/>
  <c r="M83" i="3"/>
  <c r="M81" i="3"/>
  <c r="M80" i="3"/>
  <c r="M79" i="3"/>
  <c r="AM59" i="2"/>
  <c r="AT59" i="2" s="1"/>
  <c r="AN59" i="2"/>
  <c r="AU59" i="2" s="1"/>
  <c r="AQ59" i="2"/>
  <c r="AP59" i="2"/>
  <c r="AW59" i="2" s="1"/>
  <c r="AO59" i="2"/>
  <c r="AV59" i="2" s="1"/>
  <c r="AX59" i="2" s="1"/>
  <c r="AB59" i="2"/>
  <c r="U59" i="2"/>
  <c r="AI59" i="2"/>
  <c r="AE59" i="2"/>
  <c r="AA59" i="2"/>
  <c r="AH59" i="2" s="1"/>
  <c r="Z59" i="2"/>
  <c r="Y59" i="2"/>
  <c r="T59" i="2"/>
  <c r="S59" i="2"/>
  <c r="R59" i="2"/>
  <c r="AF59" i="2" s="1"/>
  <c r="N59" i="2"/>
  <c r="L59" i="2"/>
  <c r="M59" i="2" s="1"/>
  <c r="M77" i="3"/>
  <c r="AJ58" i="2"/>
  <c r="AI58" i="2"/>
  <c r="AH58" i="2"/>
  <c r="AG58" i="2"/>
  <c r="AF58" i="2"/>
  <c r="AE58" i="2"/>
  <c r="AQ58" i="2"/>
  <c r="AP58" i="2"/>
  <c r="AO58" i="2"/>
  <c r="M58" i="2"/>
  <c r="AU55" i="2"/>
  <c r="AV55" i="2"/>
  <c r="AW55" i="2"/>
  <c r="AX55" i="2"/>
  <c r="M63" i="3"/>
  <c r="AX47" i="2"/>
  <c r="AW47" i="2"/>
  <c r="AV47" i="2"/>
  <c r="AU47" i="2"/>
  <c r="AT47" i="2"/>
  <c r="K47" i="2"/>
  <c r="N47" i="2"/>
  <c r="J62" i="3"/>
  <c r="AE46" i="2"/>
  <c r="AK46" i="2"/>
  <c r="AJ46" i="2"/>
  <c r="AI46" i="2"/>
  <c r="AH46" i="2"/>
  <c r="AG46" i="2"/>
  <c r="AF46" i="2"/>
  <c r="M46" i="2"/>
  <c r="AJ37" i="2"/>
  <c r="AI37" i="2"/>
  <c r="AH37" i="2"/>
  <c r="AG37" i="2"/>
  <c r="AF37" i="2"/>
  <c r="M37" i="2"/>
  <c r="AT13" i="2"/>
  <c r="AU13" i="2"/>
  <c r="AV13" i="2"/>
  <c r="AC59" i="2" l="1"/>
  <c r="V59" i="2" s="1"/>
  <c r="AG59" i="2"/>
  <c r="AL57" i="2"/>
  <c r="AS29" i="2"/>
  <c r="AL29" i="2" s="1"/>
  <c r="AT29" i="2"/>
  <c r="AM29" i="2" s="1"/>
  <c r="AX29" i="2"/>
  <c r="AQ29" i="2" s="1"/>
  <c r="AU29" i="2"/>
  <c r="AN29" i="2" s="1"/>
  <c r="AV29" i="2"/>
  <c r="AO29" i="2" s="1"/>
  <c r="AW29" i="2"/>
  <c r="AP29" i="2" s="1"/>
  <c r="AQ11" i="2"/>
  <c r="AP11" i="2"/>
  <c r="AO11" i="2"/>
  <c r="J16" i="3" s="1"/>
  <c r="AN11" i="2"/>
  <c r="AM11" i="2"/>
  <c r="AX33" i="2"/>
  <c r="AW33" i="2"/>
  <c r="AV33" i="2"/>
  <c r="AX10" i="2"/>
  <c r="AW10" i="2"/>
  <c r="AV10" i="2"/>
  <c r="AU10" i="2"/>
  <c r="AT10" i="2"/>
  <c r="M101" i="3" l="1"/>
  <c r="J94" i="3"/>
  <c r="J70" i="3"/>
  <c r="J69" i="3"/>
  <c r="J55" i="3"/>
  <c r="J53" i="3"/>
  <c r="J52" i="3"/>
  <c r="J51" i="3"/>
  <c r="M48" i="3"/>
  <c r="J19" i="3"/>
  <c r="M18" i="3"/>
  <c r="J17" i="3"/>
  <c r="J6" i="3"/>
  <c r="AK75" i="2"/>
  <c r="AJ75" i="2"/>
  <c r="AI75" i="2"/>
  <c r="AH75" i="2"/>
  <c r="AG75" i="2"/>
  <c r="AF75" i="2"/>
  <c r="AE75" i="2"/>
  <c r="AK73" i="2"/>
  <c r="AJ73" i="2"/>
  <c r="AI73" i="2"/>
  <c r="AH73" i="2"/>
  <c r="AG73" i="2"/>
  <c r="AF73" i="2"/>
  <c r="AE73" i="2"/>
  <c r="AK72" i="2"/>
  <c r="AJ72" i="2"/>
  <c r="AI72" i="2"/>
  <c r="AH72" i="2"/>
  <c r="AG72" i="2"/>
  <c r="AF72" i="2"/>
  <c r="AE72" i="2"/>
  <c r="AK71" i="2"/>
  <c r="AJ71" i="2"/>
  <c r="AI71" i="2"/>
  <c r="AH71" i="2"/>
  <c r="AG71" i="2"/>
  <c r="AF71" i="2"/>
  <c r="AE71" i="2"/>
  <c r="AK70" i="2"/>
  <c r="AJ70" i="2"/>
  <c r="AI70" i="2"/>
  <c r="AH70" i="2"/>
  <c r="AG70" i="2"/>
  <c r="AF70" i="2"/>
  <c r="AE70" i="2"/>
  <c r="M70" i="2"/>
  <c r="AK68" i="2"/>
  <c r="AJ68" i="2"/>
  <c r="AI68" i="2"/>
  <c r="AH68" i="2"/>
  <c r="AG68" i="2"/>
  <c r="AF68" i="2"/>
  <c r="AE68" i="2"/>
  <c r="M68" i="2"/>
  <c r="AT66" i="2"/>
  <c r="AU66" i="2" s="1"/>
  <c r="AV66" i="2" s="1"/>
  <c r="AW66" i="2" s="1"/>
  <c r="AX66" i="2" s="1"/>
  <c r="AQ66" i="2"/>
  <c r="AP66" i="2"/>
  <c r="AO66" i="2"/>
  <c r="AN66" i="2"/>
  <c r="AM66" i="2"/>
  <c r="AK66" i="2"/>
  <c r="AE66" i="2"/>
  <c r="AC66" i="2"/>
  <c r="AB66" i="2"/>
  <c r="AA66" i="2"/>
  <c r="Z66" i="2"/>
  <c r="Y66" i="2"/>
  <c r="V66" i="2"/>
  <c r="U66" i="2"/>
  <c r="T66" i="2"/>
  <c r="S66" i="2"/>
  <c r="R66" i="2"/>
  <c r="M66" i="2"/>
  <c r="AK62" i="2"/>
  <c r="AJ62" i="2"/>
  <c r="AI62" i="2"/>
  <c r="AH62" i="2"/>
  <c r="AG62" i="2"/>
  <c r="AF62" i="2"/>
  <c r="AE62" i="2"/>
  <c r="AK60" i="2"/>
  <c r="AJ60" i="2"/>
  <c r="AI60" i="2"/>
  <c r="AH60" i="2"/>
  <c r="AG60" i="2"/>
  <c r="AF60" i="2"/>
  <c r="AE60" i="2"/>
  <c r="AQ57" i="2"/>
  <c r="AP57" i="2"/>
  <c r="AO57" i="2"/>
  <c r="AN57" i="2"/>
  <c r="AM57" i="2"/>
  <c r="AJ57" i="2"/>
  <c r="AI57" i="2"/>
  <c r="AH57" i="2"/>
  <c r="AG57" i="2"/>
  <c r="AF57" i="2"/>
  <c r="AE57" i="2"/>
  <c r="M57" i="2"/>
  <c r="AK56" i="2"/>
  <c r="AJ56" i="2"/>
  <c r="AI56" i="2"/>
  <c r="AH56" i="2"/>
  <c r="AG56" i="2"/>
  <c r="AF56" i="2"/>
  <c r="AE56" i="2"/>
  <c r="AQ55" i="2"/>
  <c r="AP55" i="2"/>
  <c r="AO55" i="2"/>
  <c r="AN55" i="2"/>
  <c r="AK55" i="2"/>
  <c r="AJ55" i="2"/>
  <c r="AI55" i="2"/>
  <c r="AH55" i="2"/>
  <c r="AF55" i="2"/>
  <c r="AE55" i="2"/>
  <c r="Z55" i="2"/>
  <c r="S55" i="2"/>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AK49" i="2"/>
  <c r="AJ49" i="2"/>
  <c r="AI49" i="2"/>
  <c r="AH49" i="2"/>
  <c r="AG49" i="2"/>
  <c r="AF49" i="2"/>
  <c r="AE49" i="2"/>
  <c r="AK48" i="2"/>
  <c r="AJ48" i="2"/>
  <c r="AI48" i="2"/>
  <c r="AH48" i="2"/>
  <c r="AG48" i="2"/>
  <c r="AF48" i="2"/>
  <c r="AE48" i="2"/>
  <c r="AW45" i="2"/>
  <c r="AV45" i="2"/>
  <c r="AU45" i="2"/>
  <c r="AT45" i="2"/>
  <c r="AS45" i="2"/>
  <c r="AK45" i="2"/>
  <c r="AJ45" i="2"/>
  <c r="AI45" i="2"/>
  <c r="AH45" i="2"/>
  <c r="AG45" i="2"/>
  <c r="AF45" i="2"/>
  <c r="AE45"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AK44" i="2"/>
  <c r="AJ44" i="2"/>
  <c r="AI44" i="2"/>
  <c r="AH44" i="2"/>
  <c r="AG44" i="2"/>
  <c r="AF44" i="2"/>
  <c r="AE44" i="2"/>
  <c r="AK38" i="2"/>
  <c r="AJ38" i="2"/>
  <c r="AI38" i="2"/>
  <c r="AH38" i="2"/>
  <c r="AG38" i="2"/>
  <c r="AF38" i="2"/>
  <c r="AE38" i="2"/>
  <c r="AJ36" i="2"/>
  <c r="AI36" i="2"/>
  <c r="AH36" i="2"/>
  <c r="AG36" i="2"/>
  <c r="AF36" i="2"/>
  <c r="L36" i="2"/>
  <c r="M36" i="2" s="1"/>
  <c r="AK35" i="2"/>
  <c r="AJ35" i="2"/>
  <c r="AI35" i="2"/>
  <c r="AH35" i="2"/>
  <c r="AG35" i="2"/>
  <c r="AF35" i="2"/>
  <c r="AE35" i="2"/>
  <c r="AK34" i="2"/>
  <c r="AJ34" i="2"/>
  <c r="AI34" i="2"/>
  <c r="AH34" i="2"/>
  <c r="AG34" i="2"/>
  <c r="AF34" i="2"/>
  <c r="AE34" i="2"/>
  <c r="J34" i="2"/>
  <c r="AK33" i="2"/>
  <c r="AJ33" i="2"/>
  <c r="AI33" i="2"/>
  <c r="AH33" i="2"/>
  <c r="AG33" i="2"/>
  <c r="AF33" i="2"/>
  <c r="AE33" i="2"/>
  <c r="M33" i="2"/>
  <c r="AW32" i="2"/>
  <c r="AV32" i="2"/>
  <c r="AU32" i="2"/>
  <c r="AT32" i="2"/>
  <c r="AS32" i="2"/>
  <c r="AK32" i="2"/>
  <c r="AJ32" i="2"/>
  <c r="AI32" i="2"/>
  <c r="AH32" i="2"/>
  <c r="Z32" i="2"/>
  <c r="AG32" i="2" s="1"/>
  <c r="Y32" i="2"/>
  <c r="AF32" i="2" s="1"/>
  <c r="X32" i="2"/>
  <c r="AE32" i="2" s="1"/>
  <c r="J32" i="2"/>
  <c r="AX31" i="2"/>
  <c r="AW31" i="2"/>
  <c r="AV31" i="2"/>
  <c r="AK31" i="2"/>
  <c r="AJ31" i="2"/>
  <c r="AI31" i="2"/>
  <c r="AH31" i="2"/>
  <c r="AG31" i="2"/>
  <c r="AF31" i="2"/>
  <c r="AE31" i="2"/>
  <c r="M31" i="2"/>
  <c r="AK30" i="2"/>
  <c r="AJ30" i="2"/>
  <c r="AI30" i="2"/>
  <c r="AH30" i="2"/>
  <c r="AG30" i="2"/>
  <c r="AF30" i="2"/>
  <c r="AE30"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K23" i="2"/>
  <c r="AJ23" i="2"/>
  <c r="AX23" i="2" s="1"/>
  <c r="AI23" i="2"/>
  <c r="AW23" i="2" s="1"/>
  <c r="AH23" i="2"/>
  <c r="AV23" i="2" s="1"/>
  <c r="AG23" i="2"/>
  <c r="AU23" i="2" s="1"/>
  <c r="AF23" i="2"/>
  <c r="AT23" i="2" s="1"/>
  <c r="AE23" i="2"/>
  <c r="AS23" i="2" s="1"/>
  <c r="AJ22" i="2"/>
  <c r="AI22" i="2"/>
  <c r="AH22" i="2"/>
  <c r="AG22" i="2"/>
  <c r="M22" i="2"/>
  <c r="L22" i="2" s="1"/>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5" i="2"/>
  <c r="AJ15" i="2"/>
  <c r="AI15" i="2"/>
  <c r="AH15" i="2"/>
  <c r="AG15" i="2"/>
  <c r="AF15" i="2"/>
  <c r="AE15" i="2"/>
  <c r="AJ13" i="2"/>
  <c r="AI13" i="2"/>
  <c r="AH13" i="2"/>
  <c r="AG13" i="2"/>
  <c r="AF13" i="2"/>
  <c r="AE13" i="2"/>
  <c r="M13" i="2"/>
  <c r="AJ11" i="2"/>
  <c r="AI11" i="2"/>
  <c r="AH11" i="2"/>
  <c r="AG11" i="2"/>
  <c r="AF11" i="2"/>
  <c r="AE11" i="2"/>
  <c r="M11" i="2"/>
  <c r="AK10" i="2"/>
  <c r="AJ10" i="2"/>
  <c r="AI10" i="2"/>
  <c r="AH10" i="2"/>
  <c r="AG10" i="2"/>
  <c r="AF10" i="2"/>
  <c r="AE10" i="2"/>
  <c r="M10" i="2"/>
  <c r="AK9" i="2"/>
  <c r="AJ9" i="2"/>
  <c r="AI9" i="2"/>
  <c r="AH9" i="2"/>
  <c r="AG9" i="2"/>
  <c r="AF9" i="2"/>
  <c r="AE9" i="2"/>
  <c r="AK8" i="2"/>
  <c r="AJ8" i="2"/>
  <c r="AI8" i="2"/>
  <c r="AH8" i="2"/>
  <c r="AG8" i="2"/>
  <c r="AF8" i="2"/>
  <c r="AE8"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70" i="2" l="1"/>
  <c r="L71" i="2" s="1"/>
  <c r="M71" i="2"/>
  <c r="M32" i="2"/>
  <c r="L32" i="2"/>
  <c r="M34" i="2"/>
  <c r="L34" i="2"/>
  <c r="AH66" i="2"/>
  <c r="AF66" i="2"/>
  <c r="AG55" i="2"/>
  <c r="AI66" i="2"/>
  <c r="AJ66" i="2"/>
  <c r="AG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Michael Tiemann</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2"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6"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H47" authorId="1" shapeId="0" xr:uid="{B45E4321-47BB-7A45-9700-3249B2C407BF}">
      <text>
        <r>
          <rPr>
            <b/>
            <sz val="10"/>
            <color rgb="FF000000"/>
            <rFont val="Tahoma"/>
            <family val="2"/>
          </rPr>
          <t>Michael Tiemann:</t>
        </r>
        <r>
          <rPr>
            <sz val="10"/>
            <color rgb="FF000000"/>
            <rFont val="Tahoma"/>
            <family val="2"/>
          </rPr>
          <t xml:space="preserve">
</t>
        </r>
        <r>
          <rPr>
            <sz val="10"/>
            <color rgb="FF000000"/>
            <rFont val="Calibri"/>
            <family val="2"/>
          </rPr>
          <t>RM1 MYR = $0.2394</t>
        </r>
      </text>
    </comment>
    <comment ref="J50"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1" shapeId="0" xr:uid="{C020DD94-1E54-8E45-9F48-FF86267727E4}">
      <text>
        <r>
          <rPr>
            <b/>
            <sz val="10"/>
            <color rgb="FF000000"/>
            <rFont val="Tahoma"/>
            <family val="2"/>
          </rPr>
          <t>Michael Tiemann:</t>
        </r>
        <r>
          <rPr>
            <sz val="10"/>
            <color rgb="FF000000"/>
            <rFont val="Tahoma"/>
            <family val="2"/>
          </rPr>
          <t xml:space="preserve">
</t>
        </r>
        <r>
          <rPr>
            <sz val="10"/>
            <color rgb="FF000000"/>
            <rFont val="Calibri"/>
            <family val="2"/>
          </rPr>
          <t>115.1038 JPY per USD</t>
        </r>
      </text>
    </comment>
    <comment ref="H70"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70"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71" authorId="0" shapeId="0" xr:uid="{00000000-0006-0000-0100-000001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Created target based on ME Netzero goal</t>
        </r>
      </text>
    </comment>
    <comment ref="AT76" authorId="1" shapeId="0" xr:uid="{16EB716C-AB4A-BE4F-AD78-A8E7300F26BC}">
      <text>
        <r>
          <rPr>
            <b/>
            <sz val="10"/>
            <color rgb="FF000000"/>
            <rFont val="Tahoma"/>
            <family val="2"/>
          </rPr>
          <t>Michael Tiemann:</t>
        </r>
        <r>
          <rPr>
            <sz val="10"/>
            <color rgb="FF000000"/>
            <rFont val="Tahoma"/>
            <family val="2"/>
          </rPr>
          <t xml:space="preserve">
</t>
        </r>
        <r>
          <rPr>
            <sz val="10"/>
            <color rgb="FF000000"/>
            <rFont val="Tahoma"/>
            <family val="2"/>
          </rPr>
          <t>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2"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8"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65"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7"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8"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75"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91"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102"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106"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<sst xmlns="http://schemas.openxmlformats.org/spreadsheetml/2006/main" count="2234" uniqueCount="428">
  <si>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</si>
  <si>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</si>
  <si>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</si>
  <si>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</si>
  <si>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</si>
  <si>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</si>
  <si>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</si>
  <si>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</si>
  <si>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</si>
  <si>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</si>
  <si>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</si>
  <si>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</si>
  <si>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</si>
  <si>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</si>
  <si>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</si>
  <si>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</si>
  <si>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</si>
  <si>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</si>
  <si>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</si>
  <si>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</si>
  <si>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</si>
  <si>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</si>
  <si>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</si>
  <si>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</si>
  <si>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</si>
  <si>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</si>
  <si>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</si>
  <si>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</si>
  <si>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</si>
  <si>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</si>
  <si>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</si>
  <si>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</si>
  <si>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</si>
  <si>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</si>
  <si>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</si>
  <si>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</si>
  <si>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</si>
  <si>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</si>
  <si>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</si>
  <si>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</si>
  <si>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</si>
  <si>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</si>
  <si>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</si>
  <si>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</si>
  <si>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</si>
  <si>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</si>
  <si>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</si>
  <si>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</si>
  <si>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</si>
  <si>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</si>
  <si>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</si>
  <si>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</si>
  <si>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</si>
  <si>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</si>
  <si>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</si>
  <si>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</si>
  <si>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</si>
  <si>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</si>
  <si>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</si>
  <si>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</si>
  <si>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</si>
  <si>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</si>
  <si>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</si>
  <si>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</si>
  <si>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</si>
  <si>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</si>
  <si>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</si>
  <si>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</si>
  <si>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</si>
  <si>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</si>
  <si>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</si>
  <si>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</si>
  <si>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</si>
  <si>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</si>
  <si>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</si>
  <si>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</si>
  <si>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</si>
  <si>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</si>
  <si>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</si>
  <si>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</si>
  <si>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</si>
  <si>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</si>
  <si>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</si>
  <si>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</si>
  <si>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</si>
  <si>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</si>
  <si>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</si>
  <si>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</si>
  <si>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</si>
  <si>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</si>
  <si>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</si>
  <si>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</si>
  <si>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</si>
  <si>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</si>
  <si>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</si>
  <si>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</si>
  <si>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</si>
  <si>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</si>
  <si>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</si>
  <si>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</si>
  <si>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</si>
  <si>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</si>
  <si>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</si>
  <si>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</si>
  <si>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</si>
  <si>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</si>
  <si>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</si>
  <si>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</si>
  <si>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</si>
  <si>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</si>
  <si>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</si>
  <si>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</si>
  <si>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</si>
  <si>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</si>
  <si>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</si>
  <si>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</si>
  <si>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</si>
  <si>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</si>
  <si>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</si>
  <si>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</si>
  <si>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</si>
  <si>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</si>
  <si>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</si>
  <si>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</si>
  <si>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</si>
  <si>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</si>
  <si>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</si>
  <si>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</si>
  <si>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</si>
  <si>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</si>
  <si>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</si>
  <si>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</si>
  <si>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</si>
  <si>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</si>
  <si>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</si>
  <si>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</si>
  <si>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</si>
  <si>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</si>
  <si>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</si>
  <si>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</si>
  <si>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</si>
  <si>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</si>
  <si>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</si>
  <si>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</si>
  <si>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</si>
  <si>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</si>
  <si>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</si>
  <si>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</si>
  <si>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</si>
  <si>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</si>
  <si>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</si>
  <si>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</si>
  <si>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</si>
  <si>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</si>
  <si>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</si>
  <si>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</si>
  <si>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</si>
  <si>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</si>
  <si>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</si>
  <si>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</si>
  <si>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</si>
  <si>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</si>
  <si>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</si>
  <si>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</si>
  <si>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</si>
  <si>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</si>
  <si>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</si>
  <si>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</si>
  <si>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</si>
  <si>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</si>
  <si>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</si>
  <si>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</si>
  <si>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</si>
  <si>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</si>
  <si>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</si>
  <si>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</si>
  <si>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</si>
  <si>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</si>
  <si>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</si>
  <si>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</si>
  <si>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</si>
  <si>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</si>
  <si>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</si>
  <si>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</si>
  <si>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</si>
  <si>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</si>
  <si>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</si>
  <si>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</si>
  <si>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</si>
  <si>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</si>
  <si>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</si>
  <si>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</si>
  <si>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</si>
  <si>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</si>
  <si>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</si>
  <si>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</si>
  <si>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</si>
  <si>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</si>
  <si>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</si>
  <si>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</si>
  <si>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</si>
  <si>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</si>
  <si>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</si>
  <si>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</si>
  <si>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</si>
  <si>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</si>
  <si>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</si>
  <si>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</si>
  <si>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</si>
  <si>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</si>
  <si>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</si>
  <si>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</si>
  <si>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</si>
  <si>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</si>
  <si>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</si>
  <si>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</si>
  <si>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</si>
  <si>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</si>
  <si>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</si>
  <si>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</si>
  <si>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</si>
  <si>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</si>
  <si>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</si>
  <si>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</si>
  <si>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</si>
  <si>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</si>
  <si>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</si>
  <si>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</si>
  <si>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</si>
  <si>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</si>
  <si>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</si>
  <si>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</si>
  <si>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</si>
  <si>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</si>
  <si>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</si>
  <si>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</si>
  <si>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</si>
  <si>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</si>
  <si>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</si>
  <si>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</si>
  <si>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</si>
  <si>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</si>
  <si>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</si>
  <si>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</si>
  <si>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</si>
  <si>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</si>
  <si>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</si>
  <si>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</si>
  <si>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</si>
  <si>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</si>
  <si>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</si>
  <si>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</si>
  <si>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</si>
  <si>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</si>
  <si>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</si>
  <si>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</si>
  <si>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</si>
  <si>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</si>
  <si>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</si>
  <si>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</si>
  <si>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</si>
  <si>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</si>
  <si>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</si>
  <si>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</si>
  <si>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</si>
  <si>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</si>
  <si>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</si>
  <si>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</si>
  <si>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</si>
  <si>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</si>
  <si>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</si>
  <si>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</si>
  <si>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</si>
  <si>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</si>
  <si>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</si>
  <si>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</si>
  <si>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</si>
  <si>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</si>
  <si>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</si>
  <si>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</si>
  <si>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</si>
  <si>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</si>
  <si>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</si>
  <si>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</si>
  <si>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</si>
  <si>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</si>
  <si>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</si>
  <si>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</si>
  <si>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</si>
  <si>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</si>
  <si>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</si>
  <si>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</si>
  <si>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</si>
  <si>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</si>
  <si>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</si>
  <si>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</si>
  <si>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</si>
  <si>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</si>
  <si>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</si>
  <si>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</si>
  <si>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</si>
  <si>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</si>
  <si>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</si>
  <si>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</si>
  <si>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</si>
  <si>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</si>
  <si>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</si>
  <si>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</si>
  <si>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</si>
  <si>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</si>
  <si>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</si>
  <si>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</si>
  <si>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</si>
  <si>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</si>
  <si>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</si>
  <si>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</si>
  <si>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</si>
  <si>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</si>
  <si>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</si>
  <si>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</si>
  <si>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</si>
  <si>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</si>
  <si>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</si>
  <si>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</si>
  <si>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</si>
  <si>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</si>
  <si>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</si>
  <si>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</si>
  <si>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</si>
  <si>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</si>
  <si>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</si>
  <si>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</si>
  <si>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</si>
  <si>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</si>
  <si>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</si>
  <si>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</si>
  <si>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</si>
  <si>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</si>
  <si>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</si>
  <si>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</si>
  <si>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</si>
  <si>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</si>
  <si>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</si>
  <si>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</si>
  <si>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</si>
  <si>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</si>
  <si>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</si>
  <si>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</si>
  <si>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</si>
  <si>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</si>
  <si>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</si>
  <si>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</si>
  <si>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</si>
  <si>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</si>
  <si>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</si>
  <si>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</si>
  <si>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</si>
  <si>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</si>
  <si>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</si>
  <si>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</si>
  <si>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</si>
  <si>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</si>
  <si>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</si>
  <si>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</si>
  <si>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</si>
  <si>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</si>
  <si>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</si>
  <si>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</si>
  <si>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</si>
  <si>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</si>
  <si>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</si>
  <si>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</si>
  <si>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</si>
  <si>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</si>
  <si>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</si>
  <si>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</si>
  <si>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</si>
  <si>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</si>
  <si>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</si>
  <si>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</si>
  <si>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</si>
  <si>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</si>
  <si>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mboe</t>
  </si>
  <si>
    <t>MARATHON PETROLEUM CORPORATION</t>
  </si>
  <si>
    <t>3BNYRYQHD39K4LCKQF12</t>
  </si>
  <si>
    <t>US56585A1025</t>
  </si>
  <si>
    <t>t CO2/mboe</t>
  </si>
  <si>
    <t>PETROLEO BRASILEIRO S A PETROBRAS</t>
  </si>
  <si>
    <t>5493000J801JZRCMFE49</t>
  </si>
  <si>
    <t>BRPETRACNPR6</t>
  </si>
  <si>
    <t>PETROLIAM NASIONAL BERHAD (PETRONAS)</t>
  </si>
  <si>
    <t>5493003RZQYJM7QGNE15</t>
  </si>
  <si>
    <t>MY</t>
  </si>
  <si>
    <t>PETRONAS_SOE</t>
  </si>
  <si>
    <t>kboe</t>
  </si>
  <si>
    <t>Sinopec</t>
  </si>
  <si>
    <t>2138009UNXTD8EYS5M35</t>
  </si>
  <si>
    <t>CN0005789556</t>
  </si>
  <si>
    <t>CN</t>
  </si>
  <si>
    <t>988400PXP70BWVSJVF07</t>
  </si>
  <si>
    <t>SK Innovation</t>
  </si>
  <si>
    <t>myriametric_ton CO2</t>
  </si>
  <si>
    <t>096770.SK</t>
  </si>
  <si>
    <t>boe</t>
  </si>
  <si>
    <t>Tokyo Electric Power Company</t>
  </si>
  <si>
    <t>5299004EMJ3R4RVR5Y75</t>
  </si>
  <si>
    <t>9501.T</t>
  </si>
  <si>
    <t>kg CO2/kWh</t>
  </si>
  <si>
    <t>US05351W1036-E</t>
  </si>
  <si>
    <t>US05351W1036-U</t>
  </si>
  <si>
    <t>Avangrid, Inc. (Elec)</t>
  </si>
  <si>
    <t>Avangrid, Inc. (Util)</t>
  </si>
  <si>
    <t>Utilities</t>
  </si>
  <si>
    <t>t Steel</t>
  </si>
  <si>
    <t>Gpkm</t>
  </si>
  <si>
    <t>Mpkm</t>
  </si>
  <si>
    <t>Tpkm</t>
  </si>
  <si>
    <t>Commercial Buildings</t>
  </si>
  <si>
    <t>Balfour Beatty</t>
  </si>
  <si>
    <t>CT4UIJ3TUKGYYHMENQ17</t>
  </si>
  <si>
    <t>GB0000961622</t>
  </si>
  <si>
    <t>Construction Buildings</t>
  </si>
  <si>
    <t>CBRE</t>
  </si>
  <si>
    <t>52990016II9MJ2OSWA10</t>
  </si>
  <si>
    <t>US12504L1098</t>
  </si>
  <si>
    <t>ft**2</t>
  </si>
  <si>
    <t>kg CO2/ft**2</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</si>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</sst>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0"/>
      <color rgb="FF000000"/>
      <name val="Tahoma"/>
      <family val="2"/>
    </font>
    <font>
      <b/>
      <sz val="10"/>
      <color rgb="FF000000"/>
      <name val="Tahoma"/>
      <family val="2"/>
    </font>
    <font>
      <sz val="10"/>
      <color rgb="FF000000"/>
      <name val="Calibri"/>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90">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4" fontId="0" fillId="9" borderId="0" xfId="0" applyNumberFormat="1" applyFill="1"/>
    <xf numFmtId="0" fontId="0" fillId="10" borderId="0" xfId="0"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ill="1"/>
    <xf numFmtId="9" fontId="7" fillId="0" borderId="0" xfId="0" applyNumberFormat="1"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17"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165" fontId="0" fillId="16" borderId="0" xfId="0" applyNumberFormat="1" applyFill="1"/>
    <xf numFmtId="11"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82"/>
  <sheetViews>
    <sheetView zoomScale="150" zoomScaleNormal="150" workbookViewId="0">
      <pane xSplit="1" ySplit="1" topLeftCell="B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4" customWidth="1"/>
    <col min="24" max="29" width="16.5" customWidth="1"/>
    <col min="30" max="30" width="16.5" style="4" customWidth="1"/>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0"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410</v>
      </c>
      <c r="B7" s="1" t="s">
        <v>75</v>
      </c>
      <c r="C7" t="s">
        <v>408</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ref="AE7" si="1">IF(ISBLANK(Q7),IF(ISBLANK(X7),"",X7),Q7+X7)</f>
        <v>1040335</v>
      </c>
      <c r="AF7" s="19">
        <f t="shared" ref="AF7" si="2">IF(ISBLANK(R7),IF(ISBLANK(Y7),"",Y7),R7+Y7)</f>
        <v>965570</v>
      </c>
      <c r="AG7" s="19">
        <f t="shared" ref="AG7" si="3">IF(ISBLANK(S7),IF(ISBLANK(Z7),"",Z7),S7+Z7)</f>
        <v>1744764</v>
      </c>
      <c r="AH7" s="19">
        <f t="shared" ref="AH7" si="4">IF(ISBLANK(T7),IF(ISBLANK(AA7),"",AA7),T7+AA7)</f>
        <v>2165585</v>
      </c>
      <c r="AI7" s="19">
        <f t="shared" ref="AI7" si="5">IF(ISBLANK(U7),IF(ISBLANK(AB7),"",AB7),U7+AB7)</f>
        <v>1713731</v>
      </c>
      <c r="AJ7" s="19">
        <f t="shared" ref="AJ7" si="6">IF(ISBLANK(V7),IF(ISBLANK(AC7),"",AC7),V7+AC7)</f>
        <v>1863737</v>
      </c>
      <c r="AK7" s="19" t="str">
        <f t="shared" ref="AK7" si="7">IF(ISBLANK(W7),IF(ISBLANK(AD7),"",AD7),W7+AD7)</f>
        <v/>
      </c>
      <c r="AN7">
        <v>21590220</v>
      </c>
      <c r="AO7">
        <v>19892852</v>
      </c>
      <c r="AP7">
        <v>24528246</v>
      </c>
      <c r="AQ7" s="20">
        <v>21996103</v>
      </c>
      <c r="AS7" s="21">
        <v>17912</v>
      </c>
      <c r="AT7" s="21">
        <v>18104</v>
      </c>
      <c r="AU7">
        <v>20057</v>
      </c>
      <c r="AV7">
        <v>20960</v>
      </c>
      <c r="AW7">
        <v>22142</v>
      </c>
      <c r="AX7" s="20">
        <v>22591</v>
      </c>
    </row>
    <row r="8" spans="1:52">
      <c r="A8" t="s">
        <v>411</v>
      </c>
      <c r="B8" s="1" t="s">
        <v>75</v>
      </c>
      <c r="C8" t="s">
        <v>409</v>
      </c>
      <c r="D8" t="s">
        <v>54</v>
      </c>
      <c r="E8" s="1"/>
      <c r="F8" t="s">
        <v>412</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v>625072</v>
      </c>
      <c r="S10">
        <v>581703</v>
      </c>
      <c r="T10">
        <v>678403</v>
      </c>
      <c r="U10">
        <v>678967</v>
      </c>
      <c r="V10">
        <v>699713</v>
      </c>
      <c r="Y10">
        <v>510911</v>
      </c>
      <c r="Z10">
        <v>538622</v>
      </c>
      <c r="AA10">
        <v>354095</v>
      </c>
      <c r="AB10">
        <v>130090</v>
      </c>
      <c r="AC10">
        <v>134849</v>
      </c>
      <c r="AE10" s="19" t="str">
        <f t="shared" si="0"/>
        <v/>
      </c>
      <c r="AF10" s="19">
        <f t="shared" si="0"/>
        <v>1135983</v>
      </c>
      <c r="AG10" s="19">
        <f t="shared" si="0"/>
        <v>1120325</v>
      </c>
      <c r="AH10" s="19">
        <f t="shared" si="0"/>
        <v>1032498</v>
      </c>
      <c r="AI10" s="19">
        <f t="shared" si="0"/>
        <v>809057</v>
      </c>
      <c r="AJ10" s="19">
        <f t="shared" si="0"/>
        <v>834562</v>
      </c>
      <c r="AK10" s="19" t="str">
        <f t="shared" si="0"/>
        <v/>
      </c>
      <c r="AM10">
        <v>71714741</v>
      </c>
      <c r="AN10">
        <v>73093077</v>
      </c>
      <c r="AO10">
        <v>132520346</v>
      </c>
      <c r="AP10">
        <v>117682832</v>
      </c>
      <c r="AQ10">
        <v>121705368</v>
      </c>
      <c r="AT10" s="23">
        <f>AM10*0.85/128</f>
        <v>476230.70195312501</v>
      </c>
      <c r="AU10" s="23">
        <f>AN10*0.85/127.5</f>
        <v>487287.18</v>
      </c>
      <c r="AV10" s="23">
        <f>AO10*0.85/127</f>
        <v>886947.19763779524</v>
      </c>
      <c r="AW10" s="23">
        <f>AP10*0.85/99.1</f>
        <v>1009388.569122099</v>
      </c>
      <c r="AX10" s="23">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ref="AE11:AJ11" si="8">IF(ISBLANK(Q11),IF(ISBLANK(X11),"",X11),Q11+X11)</f>
        <v/>
      </c>
      <c r="AF11" s="19">
        <f t="shared" si="8"/>
        <v>56.6</v>
      </c>
      <c r="AG11" s="19">
        <f t="shared" si="8"/>
        <v>54.199999999999996</v>
      </c>
      <c r="AH11" s="19">
        <f t="shared" si="8"/>
        <v>54.400000000000006</v>
      </c>
      <c r="AI11" s="19">
        <f t="shared" si="8"/>
        <v>45.5</v>
      </c>
      <c r="AJ11" s="19">
        <f t="shared" si="8"/>
        <v>35.6</v>
      </c>
      <c r="AK11" s="19"/>
      <c r="AM11" s="83">
        <f>AT11*0.43/5.712</f>
        <v>946.27100840336141</v>
      </c>
      <c r="AN11" s="83">
        <f t="shared" ref="AN11:AQ11" si="9">AU11*0.43/5.712</f>
        <v>946.27100840336141</v>
      </c>
      <c r="AO11" s="83">
        <f t="shared" si="9"/>
        <v>946.27100840336141</v>
      </c>
      <c r="AP11" s="83">
        <f t="shared" si="9"/>
        <v>822.359943977591</v>
      </c>
      <c r="AQ11" s="83">
        <f t="shared" si="9"/>
        <v>834.55532212885146</v>
      </c>
      <c r="AT11" s="24">
        <v>12570</v>
      </c>
      <c r="AU11" s="24">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t="s">
        <v>58</v>
      </c>
      <c r="P12" t="s">
        <v>413</v>
      </c>
      <c r="Q12">
        <v>298055</v>
      </c>
      <c r="R12">
        <v>298055</v>
      </c>
      <c r="S12">
        <v>298055</v>
      </c>
      <c r="T12">
        <v>298055</v>
      </c>
      <c r="U12">
        <v>292832.150987298</v>
      </c>
      <c r="W12"/>
      <c r="X12">
        <f>14/1000*5489661</f>
        <v>76855.254000000001</v>
      </c>
      <c r="Y12">
        <f>14/1000*5489661</f>
        <v>76855.254000000001</v>
      </c>
      <c r="Z12">
        <f>14/1000*5489661</f>
        <v>76855.254000000001</v>
      </c>
      <c r="AA12">
        <f>14/1000*5489661</f>
        <v>76855.254000000001</v>
      </c>
      <c r="AB12">
        <f>14/1000*5489661</f>
        <v>76855.254000000001</v>
      </c>
      <c r="AD12"/>
      <c r="AE12" s="19">
        <f t="shared" ref="AE12" si="10">IF(ISBLANK(Q12),IF(ISBLANK(X12),"",X12),Q12+X12)</f>
        <v>374910.25400000002</v>
      </c>
      <c r="AF12" s="19">
        <f t="shared" ref="AF12" si="11">IF(ISBLANK(R12),IF(ISBLANK(Y12),"",Y12),R12+Y12)</f>
        <v>374910.25400000002</v>
      </c>
      <c r="AG12" s="19">
        <f t="shared" ref="AG12" si="12">IF(ISBLANK(S12),IF(ISBLANK(Z12),"",Z12),S12+Z12)</f>
        <v>374910.25400000002</v>
      </c>
      <c r="AH12" s="19">
        <f t="shared" ref="AH12" si="13">IF(ISBLANK(T12),IF(ISBLANK(AA12),"",AA12),T12+AA12)</f>
        <v>374910.25400000002</v>
      </c>
      <c r="AI12" s="19">
        <f t="shared" ref="AI12" si="14">IF(ISBLANK(U12),IF(ISBLANK(AB12),"",AB12),U12+AB12)</f>
        <v>369687.40498729801</v>
      </c>
      <c r="AJ12" s="19" t="str">
        <f t="shared" ref="AJ12" si="15">IF(ISBLANK(V12),IF(ISBLANK(AC12),"",AC12),V12+AC12)</f>
        <v/>
      </c>
      <c r="AK12" s="19"/>
      <c r="AS12">
        <v>138831</v>
      </c>
      <c r="AT12">
        <v>138831</v>
      </c>
      <c r="AU12">
        <v>138831</v>
      </c>
      <c r="AV12">
        <v>138831</v>
      </c>
      <c r="AW12">
        <v>140944.858159875</v>
      </c>
    </row>
    <row r="13" spans="1:52">
      <c r="A13" t="s">
        <v>98</v>
      </c>
      <c r="B13" s="1" t="s">
        <v>99</v>
      </c>
      <c r="C13" t="s">
        <v>100</v>
      </c>
      <c r="D13" t="s">
        <v>54</v>
      </c>
      <c r="E13" s="1"/>
      <c r="F13" t="s">
        <v>92</v>
      </c>
      <c r="G13" s="1" t="s">
        <v>56</v>
      </c>
      <c r="H13" t="s">
        <v>57</v>
      </c>
      <c r="I13" s="3">
        <v>44561</v>
      </c>
      <c r="J13" s="22">
        <v>226210000000</v>
      </c>
      <c r="K13" s="22">
        <v>162465000000</v>
      </c>
      <c r="L13" s="22">
        <v>250506000000</v>
      </c>
      <c r="M13">
        <f>L13+5640000000</f>
        <v>256146000000</v>
      </c>
      <c r="N13" s="22">
        <v>239535000000</v>
      </c>
      <c r="O13" t="s">
        <v>64</v>
      </c>
      <c r="P13" t="s">
        <v>93</v>
      </c>
      <c r="R13">
        <v>63</v>
      </c>
      <c r="S13">
        <v>66</v>
      </c>
      <c r="T13">
        <v>62</v>
      </c>
      <c r="U13">
        <v>54</v>
      </c>
      <c r="V13">
        <v>57</v>
      </c>
      <c r="W13"/>
      <c r="Y13">
        <v>3</v>
      </c>
      <c r="Z13">
        <v>3</v>
      </c>
      <c r="AA13">
        <v>2</v>
      </c>
      <c r="AB13">
        <v>4</v>
      </c>
      <c r="AC13">
        <v>4</v>
      </c>
      <c r="AD13"/>
      <c r="AE13" s="19" t="str">
        <f t="shared" ref="AE13:AJ13" si="16">IF(ISBLANK(Q13),IF(ISBLANK(X13),"",X13),Q13+X13)</f>
        <v/>
      </c>
      <c r="AF13" s="19">
        <f t="shared" si="16"/>
        <v>66</v>
      </c>
      <c r="AG13" s="19">
        <f t="shared" si="16"/>
        <v>69</v>
      </c>
      <c r="AH13" s="19">
        <f t="shared" si="16"/>
        <v>64</v>
      </c>
      <c r="AI13" s="19">
        <f t="shared" si="16"/>
        <v>58</v>
      </c>
      <c r="AJ13" s="19">
        <f t="shared" si="16"/>
        <v>61</v>
      </c>
      <c r="AM13">
        <v>613</v>
      </c>
      <c r="AN13">
        <v>628</v>
      </c>
      <c r="AO13">
        <v>639</v>
      </c>
      <c r="AP13">
        <v>583</v>
      </c>
      <c r="AQ13">
        <v>611</v>
      </c>
      <c r="AT13" s="85">
        <f>9100*AM13/$AP13</f>
        <v>9568.2675814751292</v>
      </c>
      <c r="AU13" s="85">
        <f>9100*AN13/$AP13</f>
        <v>9802.4013722126929</v>
      </c>
      <c r="AV13" s="85">
        <f>9100*AO13/$AP13</f>
        <v>9974.0994854202399</v>
      </c>
      <c r="AW13">
        <v>9100</v>
      </c>
      <c r="AX13">
        <v>9500</v>
      </c>
    </row>
    <row r="14" spans="1:52">
      <c r="A14" t="s">
        <v>101</v>
      </c>
      <c r="B14" s="1" t="s">
        <v>102</v>
      </c>
      <c r="C14" t="s">
        <v>103</v>
      </c>
      <c r="D14" t="s">
        <v>54</v>
      </c>
      <c r="E14" s="1" t="s">
        <v>63</v>
      </c>
      <c r="F14" t="s">
        <v>97</v>
      </c>
      <c r="G14" s="1" t="s">
        <v>56</v>
      </c>
      <c r="H14" t="s">
        <v>57</v>
      </c>
      <c r="I14">
        <v>2019</v>
      </c>
      <c r="J14">
        <v>2839987963</v>
      </c>
      <c r="K14">
        <v>1989900000</v>
      </c>
      <c r="L14">
        <v>4601187963</v>
      </c>
      <c r="M14">
        <v>4953787963</v>
      </c>
      <c r="N14">
        <v>3503800000</v>
      </c>
      <c r="O14" t="s">
        <v>58</v>
      </c>
      <c r="P14" t="s">
        <v>413</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104</v>
      </c>
      <c r="B15" s="1" t="s">
        <v>105</v>
      </c>
      <c r="C15" t="s">
        <v>106</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17">IF(ISBLANK(Q15),IF(ISBLANK(X15),"",X15),Q15+X15)</f>
        <v>12.6485763125094</v>
      </c>
      <c r="AF15" s="19">
        <f t="shared" si="17"/>
        <v>12.381008123704399</v>
      </c>
      <c r="AG15" s="19">
        <f t="shared" si="17"/>
        <v>12.277614766045099</v>
      </c>
      <c r="AH15" s="19">
        <f t="shared" si="17"/>
        <v>12.512963056846599</v>
      </c>
      <c r="AI15" s="19">
        <f t="shared" si="17"/>
        <v>10.700060724044199</v>
      </c>
      <c r="AJ15" s="19" t="str">
        <f t="shared" si="17"/>
        <v/>
      </c>
      <c r="AK15" s="19" t="str">
        <f t="shared" si="17"/>
        <v/>
      </c>
      <c r="AS15">
        <v>16.692451879226802</v>
      </c>
      <c r="AT15">
        <v>16.1094990846277</v>
      </c>
      <c r="AU15">
        <v>15.767973619907</v>
      </c>
      <c r="AV15">
        <v>17.0235153303285</v>
      </c>
      <c r="AW15">
        <v>15.014898459545799</v>
      </c>
    </row>
    <row r="16" spans="1:52">
      <c r="A16" t="s">
        <v>107</v>
      </c>
      <c r="B16" s="1" t="s">
        <v>108</v>
      </c>
      <c r="C16" t="s">
        <v>109</v>
      </c>
      <c r="D16" t="s">
        <v>54</v>
      </c>
      <c r="E16" s="1" t="s">
        <v>63</v>
      </c>
      <c r="F16" t="s">
        <v>97</v>
      </c>
      <c r="G16" s="1" t="s">
        <v>56</v>
      </c>
      <c r="H16" t="s">
        <v>57</v>
      </c>
      <c r="I16">
        <v>2019</v>
      </c>
      <c r="J16">
        <v>1900000000</v>
      </c>
      <c r="K16">
        <v>5829002000</v>
      </c>
      <c r="L16" s="76">
        <f>M16</f>
        <v>3154921000</v>
      </c>
      <c r="M16">
        <v>3154921000</v>
      </c>
      <c r="N16">
        <v>3758771000</v>
      </c>
      <c r="O16" t="s">
        <v>58</v>
      </c>
      <c r="P16" t="s">
        <v>413</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110</v>
      </c>
      <c r="B17" s="1" t="s">
        <v>111</v>
      </c>
      <c r="C17" t="s">
        <v>112</v>
      </c>
      <c r="D17" t="s">
        <v>54</v>
      </c>
      <c r="E17" s="1" t="s">
        <v>63</v>
      </c>
      <c r="F17" t="s">
        <v>55</v>
      </c>
      <c r="G17" s="1" t="s">
        <v>56</v>
      </c>
      <c r="H17" t="s">
        <v>57</v>
      </c>
      <c r="I17">
        <v>2019</v>
      </c>
      <c r="J17" s="76">
        <f>J9</f>
        <v>3528768075</v>
      </c>
      <c r="K17">
        <v>1639605000</v>
      </c>
      <c r="L17" s="76">
        <f t="shared" ref="L17:M17" si="18">L9</f>
        <v>6659087075</v>
      </c>
      <c r="M17" s="76">
        <f t="shared" si="18"/>
        <v>6668864075</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21" si="19">IF(ISBLANK(Q17),IF(ISBLANK(X17),"",X17),Q17+X17)</f>
        <v>9.98209123846366</v>
      </c>
      <c r="AF17" s="19">
        <f t="shared" si="19"/>
        <v>8.7791840316313294</v>
      </c>
      <c r="AG17" s="19">
        <f t="shared" si="19"/>
        <v>9.3084717803376105</v>
      </c>
      <c r="AH17" s="19">
        <f t="shared" si="19"/>
        <v>8.4480133281525607</v>
      </c>
      <c r="AI17" s="19">
        <f t="shared" si="19"/>
        <v>8.0503032419862404</v>
      </c>
      <c r="AJ17" s="19" t="str">
        <f t="shared" si="19"/>
        <v/>
      </c>
      <c r="AK17" s="19" t="str">
        <f t="shared" si="19"/>
        <v/>
      </c>
      <c r="AS17">
        <v>13.525581534692501</v>
      </c>
      <c r="AT17">
        <v>11.5214877484265</v>
      </c>
      <c r="AU17">
        <v>12.199646670480099</v>
      </c>
      <c r="AV17">
        <v>12.8612387470939</v>
      </c>
      <c r="AW17">
        <v>12.092829316131199</v>
      </c>
    </row>
    <row r="18" spans="1:50">
      <c r="A18" t="s">
        <v>113</v>
      </c>
      <c r="B18" s="1" t="s">
        <v>114</v>
      </c>
      <c r="C18" t="s">
        <v>115</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19"/>
        <v>1.32578662140228</v>
      </c>
      <c r="AF18" s="19">
        <f t="shared" si="19"/>
        <v>1.3237389779454301</v>
      </c>
      <c r="AG18" s="19">
        <f t="shared" si="19"/>
        <v>1.2684298153370399</v>
      </c>
      <c r="AH18" s="19">
        <f t="shared" si="19"/>
        <v>1.2026904049517599</v>
      </c>
      <c r="AI18" s="19">
        <f t="shared" si="19"/>
        <v>1.32787923872953</v>
      </c>
      <c r="AJ18" s="19" t="str">
        <f t="shared" si="19"/>
        <v/>
      </c>
      <c r="AK18" s="19" t="str">
        <f t="shared" si="19"/>
        <v/>
      </c>
      <c r="AS18">
        <v>3.0828950000000002</v>
      </c>
      <c r="AT18">
        <v>3.095761</v>
      </c>
      <c r="AU18">
        <v>2.9563009999999998</v>
      </c>
      <c r="AV18">
        <v>2.8198500000000002</v>
      </c>
      <c r="AW18">
        <v>3.1220319999999999</v>
      </c>
    </row>
    <row r="19" spans="1:50">
      <c r="A19" t="s">
        <v>116</v>
      </c>
      <c r="B19" s="1" t="s">
        <v>117</v>
      </c>
      <c r="C19" t="s">
        <v>118</v>
      </c>
      <c r="D19" t="s">
        <v>54</v>
      </c>
      <c r="E19" s="1" t="s">
        <v>63</v>
      </c>
      <c r="F19" t="s">
        <v>55</v>
      </c>
      <c r="G19" s="1" t="s">
        <v>56</v>
      </c>
      <c r="H19" t="s">
        <v>57</v>
      </c>
      <c r="I19" s="3">
        <v>44561</v>
      </c>
      <c r="J19" s="22">
        <v>23150000000</v>
      </c>
      <c r="K19" s="22">
        <v>14964000000</v>
      </c>
      <c r="L19" s="22">
        <v>40810000000</v>
      </c>
      <c r="M19" s="22">
        <f>L19+67000000</f>
        <v>40877000000</v>
      </c>
      <c r="N19" s="22">
        <v>39719000000</v>
      </c>
      <c r="O19" t="s">
        <v>64</v>
      </c>
      <c r="P19" t="s">
        <v>65</v>
      </c>
      <c r="Q19">
        <v>26.800952219832499</v>
      </c>
      <c r="R19">
        <v>27.947696991438701</v>
      </c>
      <c r="S19">
        <v>29.956332607558998</v>
      </c>
      <c r="T19">
        <f>28520222/1000000</f>
        <v>28.520222</v>
      </c>
      <c r="U19">
        <f>21238469/1000000</f>
        <v>21.238468999999998</v>
      </c>
      <c r="V19">
        <f>29051688/1000000</f>
        <v>29.051687999999999</v>
      </c>
      <c r="W19"/>
      <c r="X19">
        <v>0</v>
      </c>
      <c r="Y19">
        <v>0</v>
      </c>
      <c r="Z19">
        <v>0</v>
      </c>
      <c r="AA19">
        <f>3487064/1000000</f>
        <v>3.4870640000000002</v>
      </c>
      <c r="AB19">
        <f>8004145/1000000</f>
        <v>8.0041449999999994</v>
      </c>
      <c r="AC19">
        <f>1708447/1000000</f>
        <v>1.708447</v>
      </c>
      <c r="AD19"/>
      <c r="AE19" s="19">
        <f t="shared" si="19"/>
        <v>26.800952219832499</v>
      </c>
      <c r="AF19" s="19">
        <f t="shared" si="19"/>
        <v>27.947696991438701</v>
      </c>
      <c r="AG19" s="19">
        <f t="shared" si="19"/>
        <v>29.956332607558998</v>
      </c>
      <c r="AH19" s="19">
        <f t="shared" si="19"/>
        <v>32.007286000000001</v>
      </c>
      <c r="AI19" s="19">
        <f t="shared" si="19"/>
        <v>29.242613999999996</v>
      </c>
      <c r="AJ19" s="19">
        <f t="shared" si="19"/>
        <v>30.760134999999998</v>
      </c>
      <c r="AK19" s="19" t="str">
        <f t="shared" si="19"/>
        <v/>
      </c>
      <c r="AS19">
        <v>38.338929711799999</v>
      </c>
      <c r="AT19">
        <v>38.489939228899999</v>
      </c>
      <c r="AU19">
        <v>39.794065703999998</v>
      </c>
      <c r="AV19">
        <f>25.3+2.8+9.7+0.06+3.7</f>
        <v>41.56</v>
      </c>
      <c r="AW19">
        <f>18.4+4+5.9+0.07+4.3</f>
        <v>32.669999999999995</v>
      </c>
      <c r="AX19">
        <f>28.6+1.4+9+1.2+3.6</f>
        <v>43.800000000000004</v>
      </c>
    </row>
    <row r="20" spans="1:50">
      <c r="A20" t="s">
        <v>119</v>
      </c>
      <c r="B20" s="1" t="s">
        <v>120</v>
      </c>
      <c r="C20" t="s">
        <v>121</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19"/>
        <v>43.346668252252499</v>
      </c>
      <c r="AF20" s="19">
        <f t="shared" si="19"/>
        <v>36.8693615036822</v>
      </c>
      <c r="AG20" s="19">
        <f t="shared" si="19"/>
        <v>35.120067341795298</v>
      </c>
      <c r="AH20" s="19">
        <f t="shared" si="19"/>
        <v>31.432803553609599</v>
      </c>
      <c r="AI20" s="19">
        <f t="shared" si="19"/>
        <v>32.246843518396602</v>
      </c>
      <c r="AJ20" s="19" t="str">
        <f t="shared" si="19"/>
        <v/>
      </c>
      <c r="AK20" s="19" t="str">
        <f t="shared" si="19"/>
        <v/>
      </c>
      <c r="AS20">
        <v>102.3781215467</v>
      </c>
      <c r="AT20">
        <v>95.363361617799995</v>
      </c>
      <c r="AU20">
        <v>95.723638083700195</v>
      </c>
      <c r="AV20">
        <v>97.768233357200003</v>
      </c>
      <c r="AW20">
        <v>101.0949584695</v>
      </c>
    </row>
    <row r="21" spans="1:50">
      <c r="A21" t="s">
        <v>122</v>
      </c>
      <c r="B21" s="1" t="s">
        <v>123</v>
      </c>
      <c r="C21" t="s">
        <v>124</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19"/>
        <v>101.019277096862</v>
      </c>
      <c r="AF21" s="19">
        <f t="shared" si="19"/>
        <v>93.530450474088099</v>
      </c>
      <c r="AG21" s="19">
        <f t="shared" si="19"/>
        <v>95.012237689685406</v>
      </c>
      <c r="AH21" s="19">
        <f t="shared" si="19"/>
        <v>83.573620116699004</v>
      </c>
      <c r="AI21" s="19">
        <f t="shared" si="19"/>
        <v>74.771237187252794</v>
      </c>
      <c r="AJ21" s="19" t="str">
        <f t="shared" si="19"/>
        <v/>
      </c>
      <c r="AK21" s="19" t="str">
        <f t="shared" si="19"/>
        <v/>
      </c>
      <c r="AS21">
        <v>215.728917587978</v>
      </c>
      <c r="AT21">
        <v>209.732414023438</v>
      </c>
      <c r="AU21">
        <v>215.512044238328</v>
      </c>
      <c r="AV21">
        <v>206.167169888941</v>
      </c>
      <c r="AW21">
        <v>199.53951726531801</v>
      </c>
    </row>
    <row r="22" spans="1:50">
      <c r="A22" t="s">
        <v>125</v>
      </c>
      <c r="B22" s="1" t="s">
        <v>126</v>
      </c>
      <c r="C22" t="s">
        <v>127</v>
      </c>
      <c r="D22" t="s">
        <v>128</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ref="AG22:AJ23" si="20">IF(ISBLANK(S22),IF(ISBLANK(Z22),"",Z22),S22+Z22)</f>
        <v>36.17</v>
      </c>
      <c r="AH22" s="19">
        <f t="shared" si="20"/>
        <v>33.299999999999997</v>
      </c>
      <c r="AI22" s="19">
        <f t="shared" si="20"/>
        <v>28.3</v>
      </c>
      <c r="AJ22" s="19">
        <f t="shared" si="20"/>
        <v>27.3</v>
      </c>
      <c r="AK22" s="19"/>
      <c r="AN22">
        <v>110.8</v>
      </c>
      <c r="AO22">
        <v>119</v>
      </c>
      <c r="AP22">
        <v>107</v>
      </c>
      <c r="AQ22">
        <v>102</v>
      </c>
      <c r="AT22">
        <f>43769+27879</f>
        <v>71648</v>
      </c>
      <c r="AU22">
        <f>43939+28944</f>
        <v>72883</v>
      </c>
      <c r="AV22">
        <f>44526+28527</f>
        <v>73053</v>
      </c>
      <c r="AW22">
        <f>40850+29462</f>
        <v>70312</v>
      </c>
      <c r="AX22">
        <f>43372+36032</f>
        <v>79404</v>
      </c>
    </row>
    <row r="23" spans="1:50">
      <c r="A23" t="s">
        <v>129</v>
      </c>
      <c r="B23" s="1" t="s">
        <v>130</v>
      </c>
      <c r="C23" t="s">
        <v>131</v>
      </c>
      <c r="D23" t="s">
        <v>54</v>
      </c>
      <c r="E23" s="1" t="s">
        <v>63</v>
      </c>
      <c r="F23" t="s">
        <v>55</v>
      </c>
      <c r="G23" s="1" t="s">
        <v>56</v>
      </c>
      <c r="H23" t="s">
        <v>57</v>
      </c>
      <c r="I23" s="3">
        <v>44561</v>
      </c>
      <c r="J23" s="22">
        <v>25920000000</v>
      </c>
      <c r="K23" s="22">
        <v>14905000000</v>
      </c>
      <c r="L23" s="22">
        <v>55360000000</v>
      </c>
      <c r="M23" s="22">
        <f>L23+390000000</f>
        <v>55750000000</v>
      </c>
      <c r="N23" s="22">
        <v>74745000000</v>
      </c>
      <c r="O23" t="s">
        <v>64</v>
      </c>
      <c r="P23" t="s">
        <v>65</v>
      </c>
      <c r="Q23">
        <v>2.4</v>
      </c>
      <c r="R23">
        <v>1.9</v>
      </c>
      <c r="S23">
        <v>1.1000000000000001</v>
      </c>
      <c r="T23">
        <v>1.4</v>
      </c>
      <c r="U23">
        <v>1.4</v>
      </c>
      <c r="V23">
        <v>1</v>
      </c>
      <c r="W23"/>
      <c r="X23">
        <v>1.6</v>
      </c>
      <c r="Y23">
        <v>1.3</v>
      </c>
      <c r="Z23">
        <v>1.2</v>
      </c>
      <c r="AA23">
        <v>0.6</v>
      </c>
      <c r="AB23">
        <v>0.8</v>
      </c>
      <c r="AC23">
        <v>0.8</v>
      </c>
      <c r="AD23"/>
      <c r="AE23" s="19">
        <f>IF(ISBLANK(Q23),IF(ISBLANK(X23),"",X23),Q23+X23)</f>
        <v>4</v>
      </c>
      <c r="AF23" s="19">
        <f>IF(ISBLANK(R23),IF(ISBLANK(Y23),"",Y23),R23+Y23)</f>
        <v>3.2</v>
      </c>
      <c r="AG23" s="19">
        <f t="shared" si="20"/>
        <v>2.2999999999999998</v>
      </c>
      <c r="AH23" s="19">
        <f t="shared" si="20"/>
        <v>2</v>
      </c>
      <c r="AI23" s="19">
        <f t="shared" si="20"/>
        <v>2.2000000000000002</v>
      </c>
      <c r="AJ23" s="19">
        <f t="shared" si="20"/>
        <v>1.8</v>
      </c>
      <c r="AK23" s="19" t="str">
        <f>IF(ISBLANK(W23),IF(ISBLANK(AD23),"",AD23),W23+AD23)</f>
        <v/>
      </c>
      <c r="AL23">
        <v>20.6</v>
      </c>
      <c r="AM23">
        <v>16.600000000000001</v>
      </c>
      <c r="AN23">
        <v>15.8</v>
      </c>
      <c r="AO23">
        <v>9.8000000000000007</v>
      </c>
      <c r="AP23">
        <v>11.9</v>
      </c>
      <c r="AQ23">
        <v>11.6</v>
      </c>
      <c r="AS23" s="76">
        <f>(AE23+AL23)/0.26</f>
        <v>94.615384615384613</v>
      </c>
      <c r="AT23" s="76">
        <f>(AF23+AM23)/0.23</f>
        <v>86.086956521739125</v>
      </c>
      <c r="AU23">
        <f>(AG23+AN23)/0.23</f>
        <v>78.695652173913047</v>
      </c>
      <c r="AV23">
        <f>(AH23+AO23)/0.18</f>
        <v>65.555555555555557</v>
      </c>
      <c r="AW23">
        <f>(AI23+AP23)/0.21</f>
        <v>67.142857142857153</v>
      </c>
      <c r="AX23">
        <f>(AJ23+AQ23)/0.2</f>
        <v>67</v>
      </c>
    </row>
    <row r="24" spans="1:50">
      <c r="A24" t="s">
        <v>132</v>
      </c>
      <c r="B24" s="1" t="s">
        <v>133</v>
      </c>
      <c r="C24" t="s">
        <v>134</v>
      </c>
      <c r="D24" t="s">
        <v>135</v>
      </c>
      <c r="E24" s="1" t="s">
        <v>136</v>
      </c>
      <c r="F24" t="s">
        <v>55</v>
      </c>
      <c r="G24" s="1" t="s">
        <v>56</v>
      </c>
      <c r="H24" t="s">
        <v>57</v>
      </c>
      <c r="I24" s="3">
        <v>44196</v>
      </c>
      <c r="J24">
        <v>8105859000</v>
      </c>
      <c r="K24" s="22">
        <v>12064489000</v>
      </c>
      <c r="L24">
        <v>11943556000</v>
      </c>
      <c r="M24">
        <f>L24+1649486000</f>
        <v>13593042000</v>
      </c>
      <c r="N24" s="22">
        <v>26933558000</v>
      </c>
      <c r="O24" t="s">
        <v>137</v>
      </c>
      <c r="P24" t="s">
        <v>59</v>
      </c>
      <c r="S24">
        <v>6817</v>
      </c>
      <c r="T24">
        <v>6964</v>
      </c>
      <c r="U24">
        <v>6896</v>
      </c>
      <c r="W24"/>
      <c r="Z24">
        <v>115</v>
      </c>
      <c r="AA24">
        <v>41</v>
      </c>
      <c r="AB24">
        <v>86</v>
      </c>
      <c r="AD24"/>
      <c r="AE24" s="19"/>
      <c r="AF24" s="19"/>
      <c r="AG24" s="19">
        <f t="shared" ref="AG24:AG40" si="21">IF(ISBLANK(S24),IF(ISBLANK(Z24),"",Z24),S24+Z24)</f>
        <v>6932</v>
      </c>
      <c r="AH24" s="19">
        <f t="shared" ref="AH24:AH40" si="22">IF(ISBLANK(T24),IF(ISBLANK(AA24),"",AA24),T24+AA24)</f>
        <v>7005</v>
      </c>
      <c r="AI24" s="19">
        <f t="shared" ref="AI24:AI40" si="23">IF(ISBLANK(U24),IF(ISBLANK(AB24),"",AB24),U24+AB24)</f>
        <v>6982</v>
      </c>
      <c r="AJ24" s="19"/>
      <c r="AK24" s="19"/>
      <c r="AN24">
        <v>5261</v>
      </c>
      <c r="AO24">
        <v>5819</v>
      </c>
      <c r="AP24">
        <v>5315</v>
      </c>
      <c r="AU24">
        <v>39863</v>
      </c>
      <c r="AV24">
        <v>41760</v>
      </c>
      <c r="AW24">
        <v>40455</v>
      </c>
    </row>
    <row r="25" spans="1:50">
      <c r="A25" t="s">
        <v>138</v>
      </c>
      <c r="B25" s="1" t="s">
        <v>139</v>
      </c>
      <c r="C25" t="s">
        <v>140</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E35" si="24">IF(ISBLANK(Q25),IF(ISBLANK(X25),"",X25),Q25+X25)</f>
        <v>32.534277276775498</v>
      </c>
      <c r="AF25" s="19">
        <f t="shared" ref="AF25:AF35" si="25">IF(ISBLANK(R25),IF(ISBLANK(Y25),"",Y25),R25+Y25)</f>
        <v>31.452615946488201</v>
      </c>
      <c r="AG25" s="19">
        <f t="shared" si="21"/>
        <v>34.632403953117503</v>
      </c>
      <c r="AH25" s="19">
        <f t="shared" si="22"/>
        <v>33.246229122713601</v>
      </c>
      <c r="AI25" s="19">
        <f t="shared" si="23"/>
        <v>30.543162251514801</v>
      </c>
      <c r="AJ25" s="19" t="str">
        <f t="shared" ref="AJ25:AJ35" si="26">IF(ISBLANK(V25),IF(ISBLANK(AC25),"",AC25),V25+AC25)</f>
        <v/>
      </c>
      <c r="AK25" s="19" t="str">
        <f t="shared" ref="AK25:AK35" si="27">IF(ISBLANK(W25),IF(ISBLANK(AD25),"",AD25),W25+AD25)</f>
        <v/>
      </c>
      <c r="AS25">
        <v>95.811363396945296</v>
      </c>
      <c r="AT25">
        <v>90.773791353405699</v>
      </c>
      <c r="AU25">
        <v>97.9689857895942</v>
      </c>
      <c r="AV25">
        <v>102.30344268821401</v>
      </c>
      <c r="AW25">
        <v>102.664904189743</v>
      </c>
    </row>
    <row r="26" spans="1:50">
      <c r="A26" t="s">
        <v>141</v>
      </c>
      <c r="B26" s="1" t="s">
        <v>142</v>
      </c>
      <c r="C26" t="s">
        <v>143</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24"/>
        <v>35.143399275736499</v>
      </c>
      <c r="AF26" s="19">
        <f t="shared" si="25"/>
        <v>32.270603331565901</v>
      </c>
      <c r="AG26" s="19">
        <f t="shared" si="21"/>
        <v>30.548667622949999</v>
      </c>
      <c r="AH26" s="19">
        <f t="shared" si="22"/>
        <v>26.749411150191399</v>
      </c>
      <c r="AI26" s="19">
        <f t="shared" si="23"/>
        <v>24.402943213709602</v>
      </c>
      <c r="AJ26" s="19" t="str">
        <f t="shared" si="26"/>
        <v/>
      </c>
      <c r="AK26" s="19" t="str">
        <f t="shared" si="27"/>
        <v/>
      </c>
      <c r="AS26">
        <v>44.026084980599997</v>
      </c>
      <c r="AT26">
        <v>43.611918605100001</v>
      </c>
      <c r="AU26">
        <v>40.625634925699998</v>
      </c>
      <c r="AV26">
        <v>37.623516467499996</v>
      </c>
      <c r="AW26">
        <v>35.892610833500001</v>
      </c>
    </row>
    <row r="27" spans="1:50">
      <c r="A27" t="s">
        <v>144</v>
      </c>
      <c r="B27" s="1" t="s">
        <v>145</v>
      </c>
      <c r="C27" t="s">
        <v>146</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24"/>
        <v>0.54127068994473704</v>
      </c>
      <c r="AF27" s="19">
        <f t="shared" si="25"/>
        <v>0.38852905220415002</v>
      </c>
      <c r="AG27" s="19">
        <f t="shared" si="21"/>
        <v>3.4941452190248999E-3</v>
      </c>
      <c r="AH27" s="19">
        <f t="shared" si="22"/>
        <v>2.212864871423E-4</v>
      </c>
      <c r="AI27" s="19">
        <f t="shared" si="23"/>
        <v>3.6851314504339998E-4</v>
      </c>
      <c r="AJ27" s="19" t="str">
        <f t="shared" si="26"/>
        <v/>
      </c>
      <c r="AK27" s="19" t="str">
        <f t="shared" si="27"/>
        <v/>
      </c>
      <c r="AS27">
        <v>1.0800586419061999</v>
      </c>
      <c r="AT27">
        <v>0.99355118802682396</v>
      </c>
      <c r="AU27">
        <v>1.74436112E-2</v>
      </c>
      <c r="AV27">
        <v>6.0743841799999997E-2</v>
      </c>
      <c r="AW27">
        <v>8.1134556999999996E-2</v>
      </c>
    </row>
    <row r="28" spans="1:50">
      <c r="A28" t="s">
        <v>147</v>
      </c>
      <c r="B28" s="1" t="s">
        <v>148</v>
      </c>
      <c r="C28" t="s">
        <v>149</v>
      </c>
      <c r="D28" t="s">
        <v>54</v>
      </c>
      <c r="E28" s="1"/>
      <c r="F28" t="s">
        <v>55</v>
      </c>
      <c r="G28" s="1" t="s">
        <v>56</v>
      </c>
      <c r="H28" t="s">
        <v>57</v>
      </c>
      <c r="I28" s="3">
        <v>44196</v>
      </c>
      <c r="J28">
        <v>35402501369</v>
      </c>
      <c r="K28">
        <v>34438000000</v>
      </c>
      <c r="L28">
        <v>66144501369</v>
      </c>
      <c r="M28">
        <v>66731501369</v>
      </c>
      <c r="N28">
        <v>124977000000</v>
      </c>
      <c r="O28" t="s">
        <v>58</v>
      </c>
      <c r="P28" t="s">
        <v>80</v>
      </c>
      <c r="Q28">
        <v>9723000</v>
      </c>
      <c r="R28" s="25">
        <v>9532000</v>
      </c>
      <c r="S28" s="25">
        <v>8841000</v>
      </c>
      <c r="T28" s="25">
        <v>8566000</v>
      </c>
      <c r="U28" s="25">
        <v>8493000</v>
      </c>
      <c r="X28">
        <v>7061000</v>
      </c>
      <c r="Y28" s="25">
        <v>17693000</v>
      </c>
      <c r="Z28" s="25">
        <v>21022000</v>
      </c>
      <c r="AA28" s="25">
        <v>18864000</v>
      </c>
      <c r="AB28" s="25">
        <v>13720000</v>
      </c>
      <c r="AE28" s="19">
        <f t="shared" si="24"/>
        <v>16784000</v>
      </c>
      <c r="AF28" s="19">
        <f t="shared" si="25"/>
        <v>27225000</v>
      </c>
      <c r="AG28" s="19">
        <f t="shared" si="21"/>
        <v>29863000</v>
      </c>
      <c r="AH28" s="19">
        <f t="shared" si="22"/>
        <v>27430000</v>
      </c>
      <c r="AI28" s="19">
        <f t="shared" si="23"/>
        <v>22213000</v>
      </c>
      <c r="AJ28" s="19" t="str">
        <f t="shared" si="26"/>
        <v/>
      </c>
      <c r="AK28" s="19" t="str">
        <f t="shared" si="27"/>
        <v/>
      </c>
      <c r="AS28" s="20">
        <v>186212000</v>
      </c>
      <c r="AT28" s="26">
        <f>195307000+51595000</f>
        <v>246902000</v>
      </c>
      <c r="AU28" s="25">
        <f>194224000+59050000</f>
        <v>253274000</v>
      </c>
      <c r="AV28" s="27">
        <f>189463000+69708000</f>
        <v>259171000</v>
      </c>
      <c r="AW28">
        <v>181369000</v>
      </c>
    </row>
    <row r="29" spans="1:50">
      <c r="A29" t="s">
        <v>150</v>
      </c>
      <c r="B29" s="1" t="s">
        <v>151</v>
      </c>
      <c r="C29" t="s">
        <v>152</v>
      </c>
      <c r="D29" t="s">
        <v>54</v>
      </c>
      <c r="E29" s="1" t="s">
        <v>63</v>
      </c>
      <c r="F29" t="s">
        <v>92</v>
      </c>
      <c r="G29" s="1" t="s">
        <v>56</v>
      </c>
      <c r="H29" t="s">
        <v>57</v>
      </c>
      <c r="I29" s="3">
        <v>44196</v>
      </c>
      <c r="J29" s="22">
        <v>174280000000</v>
      </c>
      <c r="K29" s="22">
        <v>181502000000</v>
      </c>
      <c r="L29" s="22">
        <v>310294000000</v>
      </c>
      <c r="M29">
        <f>L29+4364000000</f>
        <v>314658000000</v>
      </c>
      <c r="N29" s="22">
        <v>332750000000</v>
      </c>
      <c r="O29" t="s">
        <v>64</v>
      </c>
      <c r="P29" t="s">
        <v>382</v>
      </c>
      <c r="Q29">
        <v>117</v>
      </c>
      <c r="R29" s="25">
        <v>115</v>
      </c>
      <c r="S29" s="25">
        <v>116</v>
      </c>
      <c r="T29" s="25">
        <v>111</v>
      </c>
      <c r="U29" s="25">
        <v>105</v>
      </c>
      <c r="V29" s="84">
        <v>103</v>
      </c>
      <c r="X29">
        <v>8</v>
      </c>
      <c r="Y29" s="25">
        <v>8</v>
      </c>
      <c r="Z29" s="25">
        <v>8</v>
      </c>
      <c r="AA29" s="25">
        <v>8</v>
      </c>
      <c r="AB29" s="25">
        <v>7</v>
      </c>
      <c r="AC29" s="84">
        <v>6</v>
      </c>
      <c r="AE29" s="19">
        <f t="shared" si="24"/>
        <v>125</v>
      </c>
      <c r="AF29" s="19">
        <f t="shared" si="25"/>
        <v>123</v>
      </c>
      <c r="AG29" s="19">
        <f t="shared" si="21"/>
        <v>124</v>
      </c>
      <c r="AH29" s="19">
        <f t="shared" si="22"/>
        <v>119</v>
      </c>
      <c r="AI29" s="19">
        <f t="shared" si="23"/>
        <v>112</v>
      </c>
      <c r="AJ29" s="19">
        <f t="shared" si="26"/>
        <v>109</v>
      </c>
      <c r="AK29" s="19" t="str">
        <f t="shared" si="27"/>
        <v/>
      </c>
      <c r="AL29" s="83">
        <f t="shared" ref="AL29:AQ29" si="28">0.43*AS29/1000</f>
        <v>636.11834999999996</v>
      </c>
      <c r="AM29" s="83">
        <f t="shared" si="28"/>
        <v>625.44574999999998</v>
      </c>
      <c r="AN29" s="83">
        <f t="shared" si="28"/>
        <v>601.58934999999997</v>
      </c>
      <c r="AO29" s="83">
        <f t="shared" si="28"/>
        <v>620.26639999999998</v>
      </c>
      <c r="AP29" s="83">
        <f t="shared" si="28"/>
        <v>590.28895</v>
      </c>
      <c r="AQ29" s="83">
        <f t="shared" si="28"/>
        <v>582.59839999999997</v>
      </c>
      <c r="AS29" s="24">
        <f>4053*365</f>
        <v>1479345</v>
      </c>
      <c r="AT29" s="24">
        <f>3985*365</f>
        <v>1454525</v>
      </c>
      <c r="AU29" s="24">
        <f>3833*365</f>
        <v>1399045</v>
      </c>
      <c r="AV29" s="24">
        <f>3952*365</f>
        <v>1442480</v>
      </c>
      <c r="AW29" s="24">
        <f>3761*365</f>
        <v>1372765</v>
      </c>
      <c r="AX29" s="24">
        <f>3712*365</f>
        <v>1354880</v>
      </c>
    </row>
    <row r="30" spans="1:50">
      <c r="A30" t="s">
        <v>153</v>
      </c>
      <c r="B30" s="1" t="s">
        <v>154</v>
      </c>
      <c r="C30" t="s">
        <v>155</v>
      </c>
      <c r="D30" t="s">
        <v>54</v>
      </c>
      <c r="E30" s="1"/>
      <c r="F30" t="s">
        <v>55</v>
      </c>
      <c r="G30" s="1" t="s">
        <v>56</v>
      </c>
      <c r="H30" t="s">
        <v>57</v>
      </c>
      <c r="I30" s="3">
        <v>44196</v>
      </c>
      <c r="J30">
        <v>20967401361</v>
      </c>
      <c r="K30">
        <v>11035000000</v>
      </c>
      <c r="L30">
        <v>39958401361</v>
      </c>
      <c r="M30">
        <v>40585401361</v>
      </c>
      <c r="N30">
        <v>42301000000</v>
      </c>
      <c r="O30" t="s">
        <v>58</v>
      </c>
      <c r="P30" t="s">
        <v>80</v>
      </c>
      <c r="R30" s="20">
        <v>42354899</v>
      </c>
      <c r="S30" s="20">
        <v>32748805</v>
      </c>
      <c r="T30" s="20">
        <v>17935528</v>
      </c>
      <c r="U30" s="20">
        <v>14519279</v>
      </c>
      <c r="Y30" s="20">
        <v>18079772</v>
      </c>
      <c r="Z30" s="20">
        <v>20223892</v>
      </c>
      <c r="AA30" s="20">
        <v>31927583</v>
      </c>
      <c r="AB30" s="20">
        <v>28230946</v>
      </c>
      <c r="AE30" s="19" t="str">
        <f t="shared" si="24"/>
        <v/>
      </c>
      <c r="AF30" s="19">
        <f t="shared" si="25"/>
        <v>60434671</v>
      </c>
      <c r="AG30" s="19">
        <f t="shared" si="21"/>
        <v>52972697</v>
      </c>
      <c r="AH30" s="19">
        <f t="shared" si="22"/>
        <v>49863111</v>
      </c>
      <c r="AI30" s="19">
        <f t="shared" si="23"/>
        <v>42750225</v>
      </c>
      <c r="AJ30" s="19" t="str">
        <f t="shared" si="26"/>
        <v/>
      </c>
      <c r="AK30" s="19" t="str">
        <f t="shared" si="27"/>
        <v/>
      </c>
      <c r="AT30" s="20">
        <v>116315158</v>
      </c>
      <c r="AU30" s="20">
        <v>109322672</v>
      </c>
      <c r="AV30" s="20">
        <v>65313409</v>
      </c>
      <c r="AW30" s="20">
        <v>61496572</v>
      </c>
    </row>
    <row r="31" spans="1:50">
      <c r="A31" t="s">
        <v>156</v>
      </c>
      <c r="B31" s="1" t="s">
        <v>157</v>
      </c>
      <c r="C31" t="s">
        <v>158</v>
      </c>
      <c r="D31" t="s">
        <v>54</v>
      </c>
      <c r="E31" s="1"/>
      <c r="F31" t="s">
        <v>85</v>
      </c>
      <c r="G31" s="1" t="s">
        <v>56</v>
      </c>
      <c r="H31" t="s">
        <v>57</v>
      </c>
      <c r="I31" s="3">
        <v>44561</v>
      </c>
      <c r="J31" s="22">
        <v>83000000000</v>
      </c>
      <c r="K31" s="22">
        <v>136300000000</v>
      </c>
      <c r="L31" s="22">
        <v>185040000000</v>
      </c>
      <c r="M31">
        <f>L31+20540000000</f>
        <v>205580000000</v>
      </c>
      <c r="N31" s="22">
        <v>257035000000</v>
      </c>
      <c r="O31" t="s">
        <v>137</v>
      </c>
      <c r="P31" t="s">
        <v>414</v>
      </c>
      <c r="R31" s="20"/>
      <c r="S31">
        <v>1442.963</v>
      </c>
      <c r="T31" s="20">
        <v>1418.056</v>
      </c>
      <c r="U31" s="20">
        <v>1129.402</v>
      </c>
      <c r="V31">
        <v>910</v>
      </c>
      <c r="Y31" s="20"/>
      <c r="Z31">
        <v>3219.7159999999999</v>
      </c>
      <c r="AA31">
        <v>3040.2930000000001</v>
      </c>
      <c r="AB31">
        <v>2473.2730000000001</v>
      </c>
      <c r="AC31">
        <v>1680</v>
      </c>
      <c r="AE31" s="19" t="str">
        <f t="shared" si="24"/>
        <v/>
      </c>
      <c r="AF31" s="19" t="str">
        <f t="shared" si="25"/>
        <v/>
      </c>
      <c r="AG31" s="19">
        <f t="shared" si="21"/>
        <v>4662.6790000000001</v>
      </c>
      <c r="AH31" s="19">
        <f t="shared" si="22"/>
        <v>4458.3490000000002</v>
      </c>
      <c r="AI31" s="19">
        <f t="shared" si="23"/>
        <v>3602.6750000000002</v>
      </c>
      <c r="AJ31" s="19">
        <f t="shared" si="26"/>
        <v>2590</v>
      </c>
      <c r="AK31" s="19" t="str">
        <f t="shared" si="27"/>
        <v/>
      </c>
      <c r="AN31">
        <v>398915.81</v>
      </c>
      <c r="AO31">
        <v>435144.43800000002</v>
      </c>
      <c r="AP31">
        <v>349281.99200000003</v>
      </c>
      <c r="AQ31" s="24">
        <v>349281.99200000003</v>
      </c>
      <c r="AT31" s="20"/>
      <c r="AU31" s="20"/>
      <c r="AV31" s="23">
        <f>AO31*0.7/(309/1.6)</f>
        <v>1577.2225584466019</v>
      </c>
      <c r="AW31" s="23">
        <f>AP31*0.7/(301/1.6)</f>
        <v>1299.6539237209302</v>
      </c>
      <c r="AX31" s="23">
        <f>AQ31*0.7/(289/1.6)</f>
        <v>1353.6187925259514</v>
      </c>
    </row>
    <row r="32" spans="1:50">
      <c r="A32" t="s">
        <v>159</v>
      </c>
      <c r="B32" s="1" t="s">
        <v>160</v>
      </c>
      <c r="C32" t="s">
        <v>161</v>
      </c>
      <c r="D32" t="s">
        <v>162</v>
      </c>
      <c r="E32" s="1"/>
      <c r="F32" t="s">
        <v>55</v>
      </c>
      <c r="G32" s="1" t="s">
        <v>56</v>
      </c>
      <c r="H32" t="s">
        <v>57</v>
      </c>
      <c r="I32" s="3">
        <v>44196</v>
      </c>
      <c r="J32">
        <f>474900000*45</f>
        <v>21370500000</v>
      </c>
      <c r="K32">
        <v>6736467578.2073498</v>
      </c>
      <c r="L32" s="76">
        <f>J32</f>
        <v>21370500000</v>
      </c>
      <c r="M32" s="76">
        <f>J32</f>
        <v>21370500000</v>
      </c>
      <c r="N32">
        <v>40960299959.761497</v>
      </c>
      <c r="O32" t="s">
        <v>58</v>
      </c>
      <c r="P32"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24"/>
        <v>14435000</v>
      </c>
      <c r="AF32" s="19">
        <f t="shared" si="25"/>
        <v>13858000</v>
      </c>
      <c r="AG32" s="19">
        <f t="shared" si="21"/>
        <v>13933000</v>
      </c>
      <c r="AH32" s="19">
        <f t="shared" si="22"/>
        <v>14858000</v>
      </c>
      <c r="AI32" s="19">
        <f t="shared" si="23"/>
        <v>12580000</v>
      </c>
      <c r="AJ32" s="19" t="str">
        <f t="shared" si="26"/>
        <v/>
      </c>
      <c r="AK32" s="19" t="str">
        <f t="shared" si="27"/>
        <v/>
      </c>
      <c r="AS32">
        <f>(15818+18480)*1000</f>
        <v>34298000</v>
      </c>
      <c r="AT32">
        <f>(15369+19785)*1000</f>
        <v>35154000</v>
      </c>
      <c r="AU32">
        <f>(18776+19163)*1000</f>
        <v>37939000</v>
      </c>
      <c r="AV32">
        <f>18976000+19244000</f>
        <v>38220000</v>
      </c>
      <c r="AW32">
        <f>17694000+18255000</f>
        <v>35949000</v>
      </c>
    </row>
    <row r="33" spans="1:50">
      <c r="A33" t="s">
        <v>163</v>
      </c>
      <c r="B33" s="1" t="s">
        <v>164</v>
      </c>
      <c r="C33" t="s">
        <v>165</v>
      </c>
      <c r="D33" t="s">
        <v>54</v>
      </c>
      <c r="E33" s="1"/>
      <c r="F33" t="s">
        <v>85</v>
      </c>
      <c r="G33" s="1" t="s">
        <v>56</v>
      </c>
      <c r="H33" t="s">
        <v>57</v>
      </c>
      <c r="I33" s="3">
        <v>44561</v>
      </c>
      <c r="J33" s="22">
        <v>59590000000</v>
      </c>
      <c r="K33" s="22">
        <v>122000000000</v>
      </c>
      <c r="L33" s="22">
        <v>144100000000</v>
      </c>
      <c r="M33" s="22">
        <f>L33+19992000000</f>
        <v>164092000000</v>
      </c>
      <c r="N33">
        <v>235194000000</v>
      </c>
      <c r="O33" t="s">
        <v>58</v>
      </c>
      <c r="P33" t="s">
        <v>415</v>
      </c>
      <c r="R33" s="20"/>
      <c r="S33" s="20"/>
      <c r="T33">
        <v>1589700</v>
      </c>
      <c r="U33">
        <v>1214124</v>
      </c>
      <c r="V33">
        <v>1252906</v>
      </c>
      <c r="X33" s="20"/>
      <c r="Y33" s="20"/>
      <c r="Z33" s="20"/>
      <c r="AA33">
        <v>3721875</v>
      </c>
      <c r="AB33">
        <v>2599822</v>
      </c>
      <c r="AC33">
        <v>2150694</v>
      </c>
      <c r="AE33" s="19" t="str">
        <f t="shared" si="24"/>
        <v/>
      </c>
      <c r="AF33" s="19" t="str">
        <f t="shared" si="25"/>
        <v/>
      </c>
      <c r="AG33" s="19" t="str">
        <f t="shared" si="21"/>
        <v/>
      </c>
      <c r="AH33" s="19">
        <f t="shared" si="22"/>
        <v>5311575</v>
      </c>
      <c r="AI33" s="19">
        <f t="shared" si="23"/>
        <v>3813946</v>
      </c>
      <c r="AJ33" s="19">
        <f t="shared" si="26"/>
        <v>3403600</v>
      </c>
      <c r="AK33" s="19" t="str">
        <f t="shared" si="27"/>
        <v/>
      </c>
      <c r="AO33">
        <v>249384317</v>
      </c>
      <c r="AP33">
        <v>296411327</v>
      </c>
      <c r="AQ33" s="24">
        <v>296411327</v>
      </c>
      <c r="AV33" s="23">
        <f>AO33*0.85/293</f>
        <v>723469.86160409555</v>
      </c>
      <c r="AW33" s="23">
        <f>AP33*0.85/280</f>
        <v>899820.09982142854</v>
      </c>
      <c r="AX33" s="23">
        <f>AQ33*0.85/265</f>
        <v>950753.31301886786</v>
      </c>
    </row>
    <row r="34" spans="1:50">
      <c r="A34" t="s">
        <v>166</v>
      </c>
      <c r="B34" s="1" t="s">
        <v>167</v>
      </c>
      <c r="C34" t="s">
        <v>168</v>
      </c>
      <c r="D34" t="s">
        <v>169</v>
      </c>
      <c r="E34" s="1" t="s">
        <v>136</v>
      </c>
      <c r="F34" t="s">
        <v>97</v>
      </c>
      <c r="G34" s="1" t="s">
        <v>56</v>
      </c>
      <c r="H34" t="s">
        <v>57</v>
      </c>
      <c r="I34">
        <v>2019</v>
      </c>
      <c r="J34">
        <f>571900000*16.72*0.2</f>
        <v>1912433600</v>
      </c>
      <c r="K34">
        <v>9835514922.9662399</v>
      </c>
      <c r="L34" s="76">
        <f>J34</f>
        <v>1912433600</v>
      </c>
      <c r="M34" s="76">
        <f>J34</f>
        <v>1912433600</v>
      </c>
      <c r="N34">
        <v>13397913513.7817</v>
      </c>
      <c r="O34" t="s">
        <v>58</v>
      </c>
      <c r="P34" t="s">
        <v>413</v>
      </c>
      <c r="Q34">
        <v>12075000</v>
      </c>
      <c r="R34">
        <v>12075000</v>
      </c>
      <c r="S34">
        <v>10707412.125</v>
      </c>
      <c r="T34">
        <v>9056519</v>
      </c>
      <c r="U34">
        <v>9198407</v>
      </c>
      <c r="W34"/>
      <c r="X34">
        <v>4025000</v>
      </c>
      <c r="Y34">
        <v>4025000</v>
      </c>
      <c r="Z34">
        <v>3569137.375</v>
      </c>
      <c r="AA34">
        <v>2890986</v>
      </c>
      <c r="AB34">
        <v>2082515</v>
      </c>
      <c r="AD34"/>
      <c r="AE34" s="19">
        <f t="shared" si="24"/>
        <v>16100000</v>
      </c>
      <c r="AF34" s="19">
        <f t="shared" si="25"/>
        <v>16100000</v>
      </c>
      <c r="AG34" s="19">
        <f t="shared" si="21"/>
        <v>14276549.5</v>
      </c>
      <c r="AH34" s="19">
        <f t="shared" si="22"/>
        <v>11947505</v>
      </c>
      <c r="AI34" s="19">
        <f t="shared" si="23"/>
        <v>11280922</v>
      </c>
      <c r="AJ34" s="19" t="str">
        <f t="shared" si="26"/>
        <v/>
      </c>
      <c r="AK34" s="19" t="str">
        <f t="shared" si="27"/>
        <v/>
      </c>
      <c r="AS34">
        <v>16100000</v>
      </c>
      <c r="AT34">
        <v>16100000</v>
      </c>
      <c r="AU34">
        <v>14276549.5</v>
      </c>
      <c r="AV34">
        <v>12453099</v>
      </c>
      <c r="AW34">
        <v>13142354.300000001</v>
      </c>
    </row>
    <row r="35" spans="1:50">
      <c r="A35" t="s">
        <v>170</v>
      </c>
      <c r="B35" s="1" t="s">
        <v>171</v>
      </c>
      <c r="C35" t="s">
        <v>172</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24"/>
        <v>3.88689418875878</v>
      </c>
      <c r="AF35" s="19">
        <f t="shared" si="25"/>
        <v>3.8663196803185498</v>
      </c>
      <c r="AG35" s="19">
        <f t="shared" si="21"/>
        <v>3.9373016635971498</v>
      </c>
      <c r="AH35" s="19">
        <f t="shared" si="22"/>
        <v>3.9790181439510599</v>
      </c>
      <c r="AI35" s="19">
        <f t="shared" si="23"/>
        <v>3.71643905269806</v>
      </c>
      <c r="AJ35" s="19" t="str">
        <f t="shared" si="26"/>
        <v/>
      </c>
      <c r="AK35" s="19" t="str">
        <f t="shared" si="27"/>
        <v/>
      </c>
      <c r="AS35">
        <v>4.9426490000000003</v>
      </c>
      <c r="AT35">
        <v>4.8881050000000004</v>
      </c>
      <c r="AU35">
        <v>4.9569289999999997</v>
      </c>
      <c r="AV35">
        <v>4.9702039999999998</v>
      </c>
      <c r="AW35">
        <v>4.6293220000000002</v>
      </c>
    </row>
    <row r="36" spans="1:50">
      <c r="A36" t="s">
        <v>173</v>
      </c>
      <c r="B36" s="1" t="s">
        <v>174</v>
      </c>
      <c r="C36" t="s">
        <v>175</v>
      </c>
      <c r="D36" t="s">
        <v>176</v>
      </c>
      <c r="E36" s="1" t="s">
        <v>91</v>
      </c>
      <c r="F36" t="s">
        <v>55</v>
      </c>
      <c r="G36" s="1" t="s">
        <v>56</v>
      </c>
      <c r="H36" t="s">
        <v>57</v>
      </c>
      <c r="I36" s="3">
        <v>44561</v>
      </c>
      <c r="J36">
        <v>66271000000</v>
      </c>
      <c r="K36">
        <v>39114000000</v>
      </c>
      <c r="L36">
        <f>J36-39119000000</f>
        <v>27152000000</v>
      </c>
      <c r="M36">
        <f>L36+4052000000</f>
        <v>31204000000</v>
      </c>
      <c r="N36">
        <v>141752000000</v>
      </c>
      <c r="O36" t="s">
        <v>137</v>
      </c>
      <c r="P36" t="s">
        <v>59</v>
      </c>
      <c r="R36">
        <v>15020</v>
      </c>
      <c r="S36">
        <v>13328</v>
      </c>
      <c r="T36">
        <v>13584</v>
      </c>
      <c r="U36">
        <v>13136</v>
      </c>
      <c r="V36">
        <v>13207</v>
      </c>
      <c r="W36"/>
      <c r="Y36">
        <v>3415</v>
      </c>
      <c r="Z36">
        <v>2544</v>
      </c>
      <c r="AA36">
        <v>2082</v>
      </c>
      <c r="AB36">
        <v>1883</v>
      </c>
      <c r="AC36">
        <v>2162</v>
      </c>
      <c r="AD36"/>
      <c r="AE36" s="19"/>
      <c r="AF36" s="19">
        <f t="shared" ref="AF36:AF40" si="29">IF(ISBLANK(R36),IF(ISBLANK(Y36),"",Y36),R36+Y36)</f>
        <v>18435</v>
      </c>
      <c r="AG36" s="19">
        <f t="shared" si="21"/>
        <v>15872</v>
      </c>
      <c r="AH36" s="19">
        <f t="shared" si="22"/>
        <v>15666</v>
      </c>
      <c r="AI36" s="19">
        <f t="shared" si="23"/>
        <v>15019</v>
      </c>
      <c r="AJ36" s="19">
        <f t="shared" ref="AJ36:AJ40" si="30">IF(ISBLANK(V36),IF(ISBLANK(AC36),"",AC36),V36+AC36)</f>
        <v>15369</v>
      </c>
      <c r="AK36" s="19"/>
      <c r="AM36">
        <v>56212</v>
      </c>
      <c r="AN36">
        <v>51969</v>
      </c>
      <c r="AO36">
        <v>54278</v>
      </c>
      <c r="AP36">
        <v>57852</v>
      </c>
      <c r="AQ36">
        <v>53898</v>
      </c>
      <c r="AT36">
        <v>137549</v>
      </c>
      <c r="AU36">
        <v>145605</v>
      </c>
      <c r="AV36">
        <v>151758</v>
      </c>
      <c r="AW36">
        <v>162842</v>
      </c>
      <c r="AX36">
        <v>164266</v>
      </c>
    </row>
    <row r="37" spans="1:50">
      <c r="A37" t="s">
        <v>383</v>
      </c>
      <c r="B37" s="1" t="s">
        <v>384</v>
      </c>
      <c r="C37" t="s">
        <v>385</v>
      </c>
      <c r="D37" t="s">
        <v>54</v>
      </c>
      <c r="E37" s="1"/>
      <c r="F37" t="s">
        <v>92</v>
      </c>
      <c r="G37" s="1" t="s">
        <v>56</v>
      </c>
      <c r="H37" t="s">
        <v>57</v>
      </c>
      <c r="I37" s="3">
        <v>44561</v>
      </c>
      <c r="J37" s="22">
        <v>39390000000</v>
      </c>
      <c r="K37" s="22">
        <v>119983000000</v>
      </c>
      <c r="L37" s="22">
        <v>52590000000</v>
      </c>
      <c r="M37" s="22">
        <f>L37+5291000000</f>
        <v>57881000000</v>
      </c>
      <c r="N37" s="22">
        <v>85373000000</v>
      </c>
      <c r="O37" t="s">
        <v>64</v>
      </c>
      <c r="P37" t="s">
        <v>177</v>
      </c>
      <c r="R37">
        <v>37.5</v>
      </c>
      <c r="S37">
        <v>37</v>
      </c>
      <c r="T37">
        <v>36.799999999999997</v>
      </c>
      <c r="U37">
        <v>32.200000000000003</v>
      </c>
      <c r="V37">
        <v>33</v>
      </c>
      <c r="W37"/>
      <c r="Y37">
        <v>7.8</v>
      </c>
      <c r="Z37">
        <v>8.1999999999999993</v>
      </c>
      <c r="AA37">
        <v>8.1999999999999993</v>
      </c>
      <c r="AB37">
        <v>8</v>
      </c>
      <c r="AC37">
        <v>6.9</v>
      </c>
      <c r="AD37"/>
      <c r="AE37" s="19"/>
      <c r="AF37" s="19">
        <f t="shared" si="29"/>
        <v>45.3</v>
      </c>
      <c r="AG37" s="19">
        <f t="shared" si="21"/>
        <v>45.2</v>
      </c>
      <c r="AH37" s="19">
        <f t="shared" si="22"/>
        <v>45</v>
      </c>
      <c r="AI37" s="19">
        <f t="shared" si="23"/>
        <v>40.200000000000003</v>
      </c>
      <c r="AJ37" s="19">
        <f t="shared" si="30"/>
        <v>39.9</v>
      </c>
      <c r="AK37" s="19"/>
      <c r="AM37" s="76">
        <v>425</v>
      </c>
      <c r="AN37" s="76">
        <v>425</v>
      </c>
      <c r="AO37">
        <v>425</v>
      </c>
      <c r="AP37">
        <v>350</v>
      </c>
      <c r="AQ37">
        <v>380</v>
      </c>
      <c r="AT37">
        <v>1669</v>
      </c>
      <c r="AU37">
        <v>1717</v>
      </c>
      <c r="AV37">
        <v>1817</v>
      </c>
      <c r="AW37">
        <v>1627</v>
      </c>
      <c r="AX37">
        <v>1682</v>
      </c>
    </row>
    <row r="38" spans="1:50">
      <c r="A38" t="s">
        <v>178</v>
      </c>
      <c r="B38" s="1" t="s">
        <v>179</v>
      </c>
      <c r="C38" t="s">
        <v>180</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W38"/>
      <c r="X38">
        <v>0</v>
      </c>
      <c r="Y38">
        <v>0</v>
      </c>
      <c r="Z38">
        <v>0</v>
      </c>
      <c r="AA38">
        <v>0</v>
      </c>
      <c r="AB38">
        <v>0</v>
      </c>
      <c r="AD38"/>
      <c r="AE38" s="19">
        <f>IF(ISBLANK(Q38),IF(ISBLANK(X38),"",X38),Q38+X38)</f>
        <v>1.87462187527987</v>
      </c>
      <c r="AF38" s="19">
        <f t="shared" si="29"/>
        <v>1.84435992735308</v>
      </c>
      <c r="AG38" s="19">
        <f t="shared" si="21"/>
        <v>2.0515686489135501</v>
      </c>
      <c r="AH38" s="19">
        <f t="shared" si="22"/>
        <v>1.71049343073906</v>
      </c>
      <c r="AI38" s="19">
        <f t="shared" si="23"/>
        <v>1.8262746387694699</v>
      </c>
      <c r="AJ38" s="19" t="str">
        <f t="shared" si="30"/>
        <v/>
      </c>
      <c r="AK38" s="19" t="str">
        <f>IF(ISBLANK(W38),IF(ISBLANK(AD38),"",AD38),W38+AD38)</f>
        <v/>
      </c>
      <c r="AS38">
        <v>2.1870177499999999</v>
      </c>
      <c r="AT38">
        <v>2.1656629999999999</v>
      </c>
      <c r="AU38">
        <v>2.3207654999999998</v>
      </c>
      <c r="AV38">
        <v>2.1471232499999999</v>
      </c>
      <c r="AW38">
        <v>2.2935585000000001</v>
      </c>
    </row>
    <row r="39" spans="1:50">
      <c r="A39" t="s">
        <v>184</v>
      </c>
      <c r="B39" s="1" t="s">
        <v>185</v>
      </c>
      <c r="C39" t="s">
        <v>186</v>
      </c>
      <c r="D39" t="s">
        <v>90</v>
      </c>
      <c r="E39" s="1" t="s">
        <v>91</v>
      </c>
      <c r="F39" t="s">
        <v>55</v>
      </c>
      <c r="G39" s="1" t="s">
        <v>56</v>
      </c>
      <c r="H39" t="s">
        <v>57</v>
      </c>
      <c r="I39">
        <v>2019</v>
      </c>
      <c r="J39">
        <v>40783780623.597</v>
      </c>
      <c r="K39">
        <v>19393506493.5065</v>
      </c>
      <c r="L39" s="76">
        <f>J39</f>
        <v>40783780623.597</v>
      </c>
      <c r="M39" s="76">
        <f>J39</f>
        <v>40783780623.597</v>
      </c>
      <c r="N39">
        <v>81770129870.129898</v>
      </c>
      <c r="O39" t="s">
        <v>64</v>
      </c>
      <c r="P39" t="s">
        <v>65</v>
      </c>
      <c r="Q39">
        <v>5.8304249123706402</v>
      </c>
      <c r="R39">
        <v>4.1059781322581701</v>
      </c>
      <c r="S39">
        <v>5.75632595190089</v>
      </c>
      <c r="T39">
        <v>4.7256911734020299</v>
      </c>
      <c r="U39">
        <v>6.07854526951468</v>
      </c>
      <c r="W39"/>
      <c r="X39">
        <v>0</v>
      </c>
      <c r="Y39">
        <v>0</v>
      </c>
      <c r="Z39">
        <v>0</v>
      </c>
      <c r="AA39">
        <v>0</v>
      </c>
      <c r="AB39">
        <v>0</v>
      </c>
      <c r="AD39"/>
      <c r="AE39" s="19">
        <f>IF(ISBLANK(Q39),IF(ISBLANK(X39),"",X39),Q39+X39)</f>
        <v>5.8304249123706402</v>
      </c>
      <c r="AF39" s="19">
        <f t="shared" si="29"/>
        <v>4.1059781322581701</v>
      </c>
      <c r="AG39" s="19">
        <f t="shared" si="21"/>
        <v>5.75632595190089</v>
      </c>
      <c r="AH39" s="19">
        <f t="shared" si="22"/>
        <v>4.7256911734020299</v>
      </c>
      <c r="AI39" s="19">
        <f t="shared" si="23"/>
        <v>6.07854526951468</v>
      </c>
      <c r="AJ39" s="19" t="str">
        <f t="shared" si="30"/>
        <v/>
      </c>
      <c r="AK39" s="19" t="str">
        <f>IF(ISBLANK(W39),IF(ISBLANK(AD39),"",AD39),W39+AD39)</f>
        <v/>
      </c>
      <c r="AS39">
        <v>9.6681579999999894</v>
      </c>
      <c r="AT39">
        <v>6.7177259999999999</v>
      </c>
      <c r="AU39">
        <v>9.3488639999999901</v>
      </c>
      <c r="AV39">
        <v>7.7770190000000001</v>
      </c>
      <c r="AW39">
        <v>10.203676</v>
      </c>
    </row>
    <row r="40" spans="1:50">
      <c r="A40" t="s">
        <v>187</v>
      </c>
      <c r="B40" s="1" t="s">
        <v>188</v>
      </c>
      <c r="C40" t="s">
        <v>189</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W40"/>
      <c r="X40">
        <v>0</v>
      </c>
      <c r="Y40">
        <v>0</v>
      </c>
      <c r="Z40">
        <v>0</v>
      </c>
      <c r="AA40">
        <v>0</v>
      </c>
      <c r="AB40">
        <v>0</v>
      </c>
      <c r="AD40"/>
      <c r="AE40" s="19">
        <f>IF(ISBLANK(Q40),IF(ISBLANK(X40),"",X40),Q40+X40)</f>
        <v>44.467669531403999</v>
      </c>
      <c r="AF40" s="19">
        <f t="shared" si="29"/>
        <v>45.156516685849297</v>
      </c>
      <c r="AG40" s="19">
        <f t="shared" si="21"/>
        <v>45.362601100706101</v>
      </c>
      <c r="AH40" s="19">
        <f t="shared" si="22"/>
        <v>44.579149470133402</v>
      </c>
      <c r="AI40" s="19">
        <f t="shared" si="23"/>
        <v>42.257461966110597</v>
      </c>
      <c r="AJ40" s="19" t="str">
        <f t="shared" si="30"/>
        <v/>
      </c>
      <c r="AK40" s="19" t="str">
        <f>IF(ISBLANK(W40),IF(ISBLANK(AD40),"",AD40),W40+AD40)</f>
        <v/>
      </c>
      <c r="AS40">
        <v>127.73700738310001</v>
      </c>
      <c r="AT40">
        <v>129.144311972</v>
      </c>
      <c r="AU40">
        <v>133.74937911255</v>
      </c>
      <c r="AV40">
        <v>135.71818765739999</v>
      </c>
      <c r="AW40">
        <v>137.27814340149999</v>
      </c>
    </row>
    <row r="41" spans="1:50">
      <c r="A41" t="s">
        <v>190</v>
      </c>
      <c r="B41" s="1" t="s">
        <v>191</v>
      </c>
      <c r="C41" t="s">
        <v>192</v>
      </c>
      <c r="D41" t="s">
        <v>193</v>
      </c>
      <c r="E41" s="28" t="s">
        <v>194</v>
      </c>
      <c r="F41" t="s">
        <v>97</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413</v>
      </c>
      <c r="Q41">
        <v>80501000</v>
      </c>
      <c r="R41">
        <v>80501000</v>
      </c>
      <c r="S41">
        <v>81099000</v>
      </c>
      <c r="T41">
        <v>78384000</v>
      </c>
      <c r="U41">
        <v>62860000</v>
      </c>
      <c r="W41"/>
      <c r="X41">
        <v>12478000</v>
      </c>
      <c r="Y41">
        <v>12478000</v>
      </c>
      <c r="Z41">
        <v>12563000</v>
      </c>
      <c r="AA41">
        <v>11878000</v>
      </c>
      <c r="AB41">
        <v>10846000</v>
      </c>
      <c r="AD41"/>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195</v>
      </c>
      <c r="B42" s="1" t="s">
        <v>196</v>
      </c>
      <c r="C42" t="s">
        <v>197</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W42"/>
      <c r="X42">
        <v>0</v>
      </c>
      <c r="Y42">
        <v>0</v>
      </c>
      <c r="Z42">
        <v>0</v>
      </c>
      <c r="AA42">
        <v>0</v>
      </c>
      <c r="AB42">
        <v>0</v>
      </c>
      <c r="AD42"/>
      <c r="AE42" s="19">
        <f t="shared" ref="AE42:AK49" si="31">IF(ISBLANK(Q42),IF(ISBLANK(X42),"",X42),Q42+X42)</f>
        <v>9.9601014764331595</v>
      </c>
      <c r="AF42" s="19">
        <f t="shared" si="31"/>
        <v>9.6960935392110308</v>
      </c>
      <c r="AG42" s="19">
        <f t="shared" si="31"/>
        <v>10.8006060749735</v>
      </c>
      <c r="AH42" s="19">
        <f t="shared" si="31"/>
        <v>8.57140918766944</v>
      </c>
      <c r="AI42" s="19">
        <f t="shared" si="31"/>
        <v>5.9569034121262199</v>
      </c>
      <c r="AJ42" s="19" t="str">
        <f t="shared" si="31"/>
        <v/>
      </c>
      <c r="AK42" s="19" t="str">
        <f t="shared" si="31"/>
        <v/>
      </c>
      <c r="AS42">
        <v>11.781155</v>
      </c>
      <c r="AT42">
        <v>11.451045000000001</v>
      </c>
      <c r="AU42">
        <v>11.979272999999999</v>
      </c>
      <c r="AV42">
        <v>10.329416</v>
      </c>
      <c r="AW42">
        <v>7.6103259999999997</v>
      </c>
    </row>
    <row r="43" spans="1:50">
      <c r="A43" t="s">
        <v>198</v>
      </c>
      <c r="B43" s="1" t="s">
        <v>199</v>
      </c>
      <c r="C43" t="s">
        <v>200</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W43"/>
      <c r="X43">
        <v>0</v>
      </c>
      <c r="Y43">
        <v>0</v>
      </c>
      <c r="Z43">
        <v>0</v>
      </c>
      <c r="AA43">
        <v>0</v>
      </c>
      <c r="AB43">
        <v>0</v>
      </c>
      <c r="AD43"/>
      <c r="AE43" s="19">
        <f t="shared" si="31"/>
        <v>10.5828883047778</v>
      </c>
      <c r="AF43" s="19">
        <f t="shared" si="31"/>
        <v>11.130297979750001</v>
      </c>
      <c r="AG43" s="19">
        <f t="shared" si="31"/>
        <v>10.9934962219328</v>
      </c>
      <c r="AH43" s="19">
        <f t="shared" si="31"/>
        <v>10.7429245489505</v>
      </c>
      <c r="AI43" s="19">
        <f t="shared" si="31"/>
        <v>7.6614925655895103</v>
      </c>
      <c r="AJ43" s="19" t="str">
        <f t="shared" si="31"/>
        <v/>
      </c>
      <c r="AK43" s="19" t="str">
        <f t="shared" si="31"/>
        <v/>
      </c>
      <c r="AS43">
        <v>21.821417649600001</v>
      </c>
      <c r="AT43">
        <v>23.083953169600001</v>
      </c>
      <c r="AU43">
        <v>23.586075636698801</v>
      </c>
      <c r="AV43">
        <v>23.480624323200001</v>
      </c>
      <c r="AW43">
        <v>19.634134127999999</v>
      </c>
    </row>
    <row r="44" spans="1:50">
      <c r="A44" t="s">
        <v>181</v>
      </c>
      <c r="B44" s="1" t="s">
        <v>182</v>
      </c>
      <c r="C44" t="s">
        <v>183</v>
      </c>
      <c r="D44" t="s">
        <v>54</v>
      </c>
      <c r="E44" s="1" t="s">
        <v>63</v>
      </c>
      <c r="F44" t="s">
        <v>97</v>
      </c>
      <c r="G44" s="1" t="s">
        <v>56</v>
      </c>
      <c r="H44" t="s">
        <v>57</v>
      </c>
      <c r="I44">
        <v>2019</v>
      </c>
      <c r="J44">
        <v>16580000000</v>
      </c>
      <c r="K44">
        <v>22588858000</v>
      </c>
      <c r="L44">
        <v>19336696000</v>
      </c>
      <c r="M44">
        <v>20871301000</v>
      </c>
      <c r="N44">
        <v>18344666000</v>
      </c>
      <c r="O44" t="s">
        <v>58</v>
      </c>
      <c r="P44" t="s">
        <v>413</v>
      </c>
      <c r="Q44">
        <v>4800000</v>
      </c>
      <c r="R44">
        <v>4800000</v>
      </c>
      <c r="S44">
        <v>4800000</v>
      </c>
      <c r="T44">
        <v>4400000</v>
      </c>
      <c r="U44">
        <v>4700000</v>
      </c>
      <c r="W44"/>
      <c r="X44">
        <v>5785714.2857142901</v>
      </c>
      <c r="Y44">
        <v>5785714.2857142901</v>
      </c>
      <c r="Z44">
        <v>5785714.2857142901</v>
      </c>
      <c r="AA44">
        <v>5400000</v>
      </c>
      <c r="AB44">
        <v>5400000</v>
      </c>
      <c r="AD44"/>
      <c r="AE44" s="19">
        <f t="shared" ref="AE44:AK44" si="32">IF(ISBLANK(Q44),IF(ISBLANK(X44),"",X44),Q44+X44)</f>
        <v>10585714.285714291</v>
      </c>
      <c r="AF44" s="19">
        <f t="shared" si="32"/>
        <v>10585714.285714291</v>
      </c>
      <c r="AG44" s="19">
        <f t="shared" si="32"/>
        <v>10585714.285714291</v>
      </c>
      <c r="AH44" s="19">
        <f t="shared" si="32"/>
        <v>9800000</v>
      </c>
      <c r="AI44" s="19">
        <f t="shared" si="32"/>
        <v>10100000</v>
      </c>
      <c r="AJ44" s="19" t="str">
        <f t="shared" si="32"/>
        <v/>
      </c>
      <c r="AK44" s="19" t="str">
        <f t="shared" si="32"/>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201</v>
      </c>
      <c r="B45" s="1" t="s">
        <v>202</v>
      </c>
      <c r="C45" t="s">
        <v>203</v>
      </c>
      <c r="D45" t="s">
        <v>54</v>
      </c>
      <c r="E45" s="1"/>
      <c r="F45" t="s">
        <v>55</v>
      </c>
      <c r="G45" s="1" t="s">
        <v>56</v>
      </c>
      <c r="H45" t="s">
        <v>57</v>
      </c>
      <c r="I45" s="3">
        <v>44196</v>
      </c>
      <c r="J45">
        <v>6077156282</v>
      </c>
      <c r="K45">
        <v>2231600000</v>
      </c>
      <c r="L45" s="76">
        <f>J45</f>
        <v>6077156282</v>
      </c>
      <c r="M45" s="76">
        <f>J45</f>
        <v>6077156282</v>
      </c>
      <c r="N45">
        <v>11024300000</v>
      </c>
      <c r="O45" t="s">
        <v>58</v>
      </c>
      <c r="P45" t="s">
        <v>80</v>
      </c>
      <c r="Q45" s="20">
        <v>26596742</v>
      </c>
      <c r="R45" s="20">
        <v>29995758</v>
      </c>
      <c r="S45" s="20">
        <v>29344948</v>
      </c>
      <c r="T45" s="20">
        <v>24205850</v>
      </c>
      <c r="U45" s="20">
        <v>25759240</v>
      </c>
      <c r="X45" s="20">
        <v>6570582</v>
      </c>
      <c r="Y45" s="20">
        <v>6366492</v>
      </c>
      <c r="Z45" s="20">
        <v>6552023</v>
      </c>
      <c r="AA45" s="20">
        <v>6121318</v>
      </c>
      <c r="AB45" s="20">
        <v>6063090</v>
      </c>
      <c r="AE45" s="19">
        <f t="shared" si="31"/>
        <v>33167324</v>
      </c>
      <c r="AF45" s="19">
        <f t="shared" si="31"/>
        <v>36362250</v>
      </c>
      <c r="AG45" s="19">
        <f t="shared" si="31"/>
        <v>35896971</v>
      </c>
      <c r="AH45" s="19">
        <f t="shared" si="31"/>
        <v>30327168</v>
      </c>
      <c r="AI45" s="19">
        <f t="shared" si="31"/>
        <v>31822330</v>
      </c>
      <c r="AJ45" s="19" t="str">
        <f t="shared" si="31"/>
        <v/>
      </c>
      <c r="AK45" s="19" t="str">
        <f t="shared" si="31"/>
        <v/>
      </c>
      <c r="AS45" s="29">
        <f>27386150+337284+9430179+1135+58481+1356185+7487+317670+11610944</f>
        <v>50505515</v>
      </c>
      <c r="AT45" s="29">
        <f>31026112+283323+8304127+777+39306+1494512+5994+322935+11280342</f>
        <v>52757428</v>
      </c>
      <c r="AU45" s="29">
        <f>30506684+465026+10655278+4344+34495+1129399+5996+277653+11385085</f>
        <v>54463960</v>
      </c>
      <c r="AV45" s="29">
        <f>25067412+190452+9189864+4488+52483+1978567+7145+276564+11751484</f>
        <v>48518459</v>
      </c>
      <c r="AW45" s="29">
        <f>26746679+224926+7717598+760+62669+1795659+9332+269579+11586013</f>
        <v>48413215</v>
      </c>
    </row>
    <row r="46" spans="1:50">
      <c r="A46" t="s">
        <v>387</v>
      </c>
      <c r="B46" s="1" t="s">
        <v>388</v>
      </c>
      <c r="C46" t="s">
        <v>389</v>
      </c>
      <c r="D46" t="s">
        <v>169</v>
      </c>
      <c r="E46" s="1"/>
      <c r="F46" t="s">
        <v>92</v>
      </c>
      <c r="G46" s="1" t="s">
        <v>56</v>
      </c>
      <c r="H46" t="s">
        <v>57</v>
      </c>
      <c r="I46" s="3">
        <v>44561</v>
      </c>
      <c r="J46" s="22">
        <v>69590000000</v>
      </c>
      <c r="K46" s="22">
        <v>83970000000</v>
      </c>
      <c r="L46" s="22">
        <v>656100000000</v>
      </c>
      <c r="M46" s="22">
        <f>L46+100270000000</f>
        <v>756370000000</v>
      </c>
      <c r="N46" s="22">
        <v>174000000000</v>
      </c>
      <c r="O46" t="s">
        <v>64</v>
      </c>
      <c r="P46" t="s">
        <v>177</v>
      </c>
      <c r="Q46">
        <v>66</v>
      </c>
      <c r="R46">
        <v>66.599999999999994</v>
      </c>
      <c r="S46">
        <v>61.4</v>
      </c>
      <c r="T46">
        <v>58.8</v>
      </c>
      <c r="U46">
        <v>55.5</v>
      </c>
      <c r="V46">
        <v>61.4</v>
      </c>
      <c r="X46" s="20">
        <v>0.5</v>
      </c>
      <c r="Y46" s="20">
        <v>0.4</v>
      </c>
      <c r="Z46" s="20">
        <v>0.4</v>
      </c>
      <c r="AA46" s="20">
        <v>0.3</v>
      </c>
      <c r="AB46" s="20">
        <v>0.2</v>
      </c>
      <c r="AC46" s="20">
        <v>0.4</v>
      </c>
      <c r="AE46" s="19">
        <f t="shared" si="31"/>
        <v>66.5</v>
      </c>
      <c r="AF46" s="19">
        <f t="shared" si="31"/>
        <v>67</v>
      </c>
      <c r="AG46" s="19">
        <f t="shared" si="31"/>
        <v>61.8</v>
      </c>
      <c r="AH46" s="19">
        <f t="shared" si="31"/>
        <v>59.099999999999994</v>
      </c>
      <c r="AI46" s="19">
        <f t="shared" si="31"/>
        <v>55.7</v>
      </c>
      <c r="AJ46" s="19">
        <f t="shared" si="31"/>
        <v>61.8</v>
      </c>
      <c r="AK46" s="19" t="str">
        <f t="shared" si="31"/>
        <v/>
      </c>
      <c r="AL46">
        <v>459.9</v>
      </c>
      <c r="AM46">
        <v>437.2</v>
      </c>
      <c r="AN46">
        <v>412.3</v>
      </c>
      <c r="AO46">
        <v>400.2</v>
      </c>
      <c r="AP46">
        <v>410.5</v>
      </c>
      <c r="AQ46">
        <v>420.4</v>
      </c>
      <c r="AS46" s="86">
        <v>996.6600000000002</v>
      </c>
      <c r="AT46" s="86">
        <v>996.6600000000002</v>
      </c>
      <c r="AU46" s="86">
        <v>996.6600000000002</v>
      </c>
      <c r="AV46" s="29">
        <v>996.6600000000002</v>
      </c>
      <c r="AW46" s="29">
        <v>1021.05</v>
      </c>
      <c r="AX46">
        <v>749.7</v>
      </c>
    </row>
    <row r="47" spans="1:50">
      <c r="A47" t="s">
        <v>390</v>
      </c>
      <c r="B47" s="1" t="s">
        <v>391</v>
      </c>
      <c r="C47" t="s">
        <v>393</v>
      </c>
      <c r="D47" t="s">
        <v>392</v>
      </c>
      <c r="E47" s="1"/>
      <c r="F47" t="s">
        <v>92</v>
      </c>
      <c r="G47" s="1" t="s">
        <v>56</v>
      </c>
      <c r="H47" t="s">
        <v>57</v>
      </c>
      <c r="I47" s="3">
        <v>44561</v>
      </c>
      <c r="J47" s="22">
        <v>1</v>
      </c>
      <c r="K47" s="22">
        <f>248000000000*0.2394</f>
        <v>59371200000</v>
      </c>
      <c r="L47" s="22">
        <v>1</v>
      </c>
      <c r="M47" s="22">
        <v>1</v>
      </c>
      <c r="N47" s="22">
        <f>635000000000*0.2394</f>
        <v>152019000000</v>
      </c>
      <c r="O47" t="s">
        <v>64</v>
      </c>
      <c r="P47" t="s">
        <v>394</v>
      </c>
      <c r="X47" s="20"/>
      <c r="Y47" s="20"/>
      <c r="Z47" s="20"/>
      <c r="AA47" s="20"/>
      <c r="AB47" s="20"/>
      <c r="AC47" s="20"/>
      <c r="AE47" s="19"/>
      <c r="AF47" s="19">
        <v>56.5</v>
      </c>
      <c r="AG47" s="19">
        <v>50.1</v>
      </c>
      <c r="AH47" s="19">
        <v>53.8</v>
      </c>
      <c r="AI47" s="19">
        <v>48.3</v>
      </c>
      <c r="AJ47" s="19">
        <v>45.2</v>
      </c>
      <c r="AK47" s="19"/>
      <c r="AS47" s="29"/>
      <c r="AT47" s="29">
        <f>1000000*AF47/88.7</f>
        <v>636978.57948139799</v>
      </c>
      <c r="AU47" s="29">
        <f>1000000*AG47/74.2</f>
        <v>675202.15633423172</v>
      </c>
      <c r="AV47" s="29">
        <f>1000000*AH47/64.6</f>
        <v>832817.33746130043</v>
      </c>
      <c r="AW47" s="29">
        <f>1000000*AI47/65.9</f>
        <v>732928.67981790588</v>
      </c>
      <c r="AX47" s="29">
        <f>1000000*AJ47/47.9</f>
        <v>943632.56784968683</v>
      </c>
    </row>
    <row r="48" spans="1:50">
      <c r="A48" t="s">
        <v>204</v>
      </c>
      <c r="B48" s="1" t="s">
        <v>205</v>
      </c>
      <c r="C48" t="s">
        <v>206</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W48"/>
      <c r="X48">
        <v>0</v>
      </c>
      <c r="Y48">
        <v>0</v>
      </c>
      <c r="Z48">
        <v>0</v>
      </c>
      <c r="AA48">
        <v>0</v>
      </c>
      <c r="AB48">
        <v>0</v>
      </c>
      <c r="AD48"/>
      <c r="AE48" s="19">
        <f t="shared" si="31"/>
        <v>2.21654399278684</v>
      </c>
      <c r="AF48" s="19">
        <f t="shared" si="31"/>
        <v>2.25119156640157</v>
      </c>
      <c r="AG48" s="19">
        <f t="shared" si="31"/>
        <v>2.4511497723448499</v>
      </c>
      <c r="AH48" s="19">
        <f t="shared" si="31"/>
        <v>2.4417731948327601</v>
      </c>
      <c r="AI48" s="19">
        <f t="shared" si="31"/>
        <v>2.4929495902512899</v>
      </c>
      <c r="AJ48" s="19" t="str">
        <f t="shared" si="31"/>
        <v/>
      </c>
      <c r="AK48" s="19" t="str">
        <f t="shared" si="31"/>
        <v/>
      </c>
      <c r="AS48">
        <v>32.993291999999997</v>
      </c>
      <c r="AT48">
        <v>34.490223999999998</v>
      </c>
      <c r="AU48">
        <v>32.281219999999998</v>
      </c>
      <c r="AV48">
        <v>33.513361000000003</v>
      </c>
      <c r="AW48">
        <v>28.915493999999999</v>
      </c>
    </row>
    <row r="49" spans="1:50">
      <c r="A49" t="s">
        <v>207</v>
      </c>
      <c r="B49" s="1" t="s">
        <v>208</v>
      </c>
      <c r="C49" t="s">
        <v>209</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W49"/>
      <c r="X49">
        <v>0</v>
      </c>
      <c r="Y49">
        <v>0</v>
      </c>
      <c r="Z49">
        <v>0</v>
      </c>
      <c r="AA49">
        <v>0</v>
      </c>
      <c r="AB49">
        <v>0</v>
      </c>
      <c r="AD49"/>
      <c r="AE49" s="19">
        <f t="shared" si="31"/>
        <v>6.3372507858173801</v>
      </c>
      <c r="AF49" s="19">
        <f t="shared" si="31"/>
        <v>6.4887687018882199</v>
      </c>
      <c r="AG49" s="19">
        <f t="shared" si="31"/>
        <v>5.2178957581488197</v>
      </c>
      <c r="AH49" s="19">
        <f t="shared" si="31"/>
        <v>5.3678279888909604</v>
      </c>
      <c r="AI49" s="19">
        <f t="shared" si="31"/>
        <v>5.2994389016205004</v>
      </c>
      <c r="AJ49" s="19" t="str">
        <f t="shared" si="31"/>
        <v/>
      </c>
      <c r="AK49" s="19" t="str">
        <f t="shared" si="31"/>
        <v/>
      </c>
      <c r="AS49">
        <v>10.2316756958</v>
      </c>
      <c r="AT49">
        <v>10.1709745005</v>
      </c>
      <c r="AU49">
        <v>9.3077880987999997</v>
      </c>
      <c r="AV49">
        <v>9.9073846084999992</v>
      </c>
      <c r="AW49">
        <v>9.7428489771999995</v>
      </c>
    </row>
    <row r="50" spans="1:50">
      <c r="A50" t="s">
        <v>210</v>
      </c>
      <c r="B50" s="1" t="s">
        <v>211</v>
      </c>
      <c r="C50" t="s">
        <v>212</v>
      </c>
      <c r="D50" t="s">
        <v>213</v>
      </c>
      <c r="E50" s="1" t="s">
        <v>194</v>
      </c>
      <c r="F50" t="s">
        <v>97</v>
      </c>
      <c r="G50" s="1" t="s">
        <v>56</v>
      </c>
      <c r="H50" t="s">
        <v>57</v>
      </c>
      <c r="I50">
        <v>2019</v>
      </c>
      <c r="J50">
        <v>20260000000</v>
      </c>
      <c r="K50">
        <v>55955872344.100899</v>
      </c>
      <c r="L50" s="76">
        <f>J50</f>
        <v>20260000000</v>
      </c>
      <c r="M50" s="76">
        <f>J50</f>
        <v>20260000000</v>
      </c>
      <c r="N50">
        <v>68553124892.036598</v>
      </c>
      <c r="O50" t="s">
        <v>58</v>
      </c>
      <c r="P50" t="s">
        <v>413</v>
      </c>
      <c r="Q50">
        <v>81309800</v>
      </c>
      <c r="R50">
        <v>75633360</v>
      </c>
      <c r="S50">
        <v>77391479</v>
      </c>
      <c r="T50">
        <v>79447924</v>
      </c>
      <c r="U50">
        <v>75069656</v>
      </c>
      <c r="W50"/>
      <c r="X50">
        <v>3715700</v>
      </c>
      <c r="Y50">
        <v>1107681</v>
      </c>
      <c r="Z50">
        <v>1106964</v>
      </c>
      <c r="AA50">
        <v>815966</v>
      </c>
      <c r="AB50">
        <v>580226</v>
      </c>
      <c r="AD50"/>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214</v>
      </c>
      <c r="B51" s="1" t="s">
        <v>215</v>
      </c>
      <c r="C51" t="s">
        <v>216</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W51"/>
      <c r="X51">
        <v>0</v>
      </c>
      <c r="Y51">
        <v>0</v>
      </c>
      <c r="Z51">
        <v>0</v>
      </c>
      <c r="AA51">
        <v>0</v>
      </c>
      <c r="AB51">
        <v>0</v>
      </c>
      <c r="AD51"/>
      <c r="AE51" s="19">
        <f t="shared" ref="AE51:AK56" si="33">IF(ISBLANK(Q51),IF(ISBLANK(X51),"",X51),Q51+X51)</f>
        <v>30.0884872251346</v>
      </c>
      <c r="AF51" s="19">
        <f t="shared" si="33"/>
        <v>30.248371457395901</v>
      </c>
      <c r="AG51" s="19">
        <f t="shared" si="33"/>
        <v>31.6114690424515</v>
      </c>
      <c r="AH51" s="19">
        <f t="shared" si="33"/>
        <v>28.7789153183409</v>
      </c>
      <c r="AI51" s="19">
        <f t="shared" si="33"/>
        <v>26.356336337583201</v>
      </c>
      <c r="AJ51" s="19" t="str">
        <f t="shared" si="33"/>
        <v/>
      </c>
      <c r="AK51" s="19" t="str">
        <f t="shared" si="33"/>
        <v/>
      </c>
      <c r="AS51">
        <v>34.6132211708955</v>
      </c>
      <c r="AT51">
        <v>33.532868484328297</v>
      </c>
      <c r="AU51">
        <v>35.571970040298503</v>
      </c>
      <c r="AV51">
        <v>33.152931723134301</v>
      </c>
      <c r="AW51">
        <v>30.552479561194001</v>
      </c>
    </row>
    <row r="52" spans="1:50">
      <c r="A52" t="s">
        <v>217</v>
      </c>
      <c r="B52" s="1" t="s">
        <v>218</v>
      </c>
      <c r="C52" t="s">
        <v>219</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W52"/>
      <c r="X52">
        <v>0</v>
      </c>
      <c r="Y52">
        <v>0</v>
      </c>
      <c r="Z52">
        <v>0</v>
      </c>
      <c r="AA52">
        <v>0</v>
      </c>
      <c r="AB52">
        <v>0</v>
      </c>
      <c r="AD52"/>
      <c r="AE52" s="19">
        <f t="shared" si="33"/>
        <v>10.1264200928455</v>
      </c>
      <c r="AF52" s="19">
        <f t="shared" si="33"/>
        <v>11.1203926606529</v>
      </c>
      <c r="AG52" s="19">
        <f t="shared" si="33"/>
        <v>11.1870425101908</v>
      </c>
      <c r="AH52" s="19">
        <f t="shared" si="33"/>
        <v>10.549571530444201</v>
      </c>
      <c r="AI52" s="19">
        <f t="shared" si="33"/>
        <v>10.831472549502299</v>
      </c>
      <c r="AJ52" s="19" t="str">
        <f t="shared" si="33"/>
        <v/>
      </c>
      <c r="AK52" s="19" t="str">
        <f t="shared" si="33"/>
        <v/>
      </c>
      <c r="AS52">
        <v>24.816709093617501</v>
      </c>
      <c r="AT52">
        <v>25.543286224276802</v>
      </c>
      <c r="AU52">
        <v>25.3295254644724</v>
      </c>
      <c r="AV52">
        <v>25.6144668764736</v>
      </c>
      <c r="AW52">
        <v>26.617025473167001</v>
      </c>
    </row>
    <row r="53" spans="1:50">
      <c r="A53" t="s">
        <v>220</v>
      </c>
      <c r="B53" s="1" t="s">
        <v>221</v>
      </c>
      <c r="C53" t="s">
        <v>222</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W53"/>
      <c r="X53">
        <v>0</v>
      </c>
      <c r="Y53">
        <v>0</v>
      </c>
      <c r="Z53">
        <v>0</v>
      </c>
      <c r="AA53">
        <v>0</v>
      </c>
      <c r="AB53">
        <v>0</v>
      </c>
      <c r="AD53"/>
      <c r="AE53" s="19">
        <f t="shared" si="33"/>
        <v>5.9896601061833996</v>
      </c>
      <c r="AF53" s="19">
        <f t="shared" si="33"/>
        <v>5.9839268728476602</v>
      </c>
      <c r="AG53" s="19">
        <f t="shared" si="33"/>
        <v>6.0355401320321702</v>
      </c>
      <c r="AH53" s="19">
        <f t="shared" si="33"/>
        <v>7.6219275866474101</v>
      </c>
      <c r="AI53" s="19">
        <f t="shared" si="33"/>
        <v>6.2495578398509801</v>
      </c>
      <c r="AJ53" s="19" t="str">
        <f t="shared" si="33"/>
        <v/>
      </c>
      <c r="AK53" s="19" t="str">
        <f t="shared" si="33"/>
        <v/>
      </c>
      <c r="AS53">
        <v>13.0388771586</v>
      </c>
      <c r="AT53">
        <v>13.1581340554</v>
      </c>
      <c r="AU53">
        <v>13.925387108697</v>
      </c>
      <c r="AV53">
        <v>15.800690788500001</v>
      </c>
      <c r="AW53">
        <v>14.4241320008</v>
      </c>
    </row>
    <row r="54" spans="1:50">
      <c r="A54" t="s">
        <v>223</v>
      </c>
      <c r="B54" s="1" t="s">
        <v>224</v>
      </c>
      <c r="C54" t="s">
        <v>225</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W54"/>
      <c r="X54">
        <v>0</v>
      </c>
      <c r="Y54">
        <v>0</v>
      </c>
      <c r="Z54">
        <v>0</v>
      </c>
      <c r="AA54">
        <v>0</v>
      </c>
      <c r="AB54">
        <v>0</v>
      </c>
      <c r="AD54"/>
      <c r="AE54" s="19">
        <f t="shared" si="33"/>
        <v>11.7569055157382</v>
      </c>
      <c r="AF54" s="19">
        <f t="shared" si="33"/>
        <v>10.497003363215899</v>
      </c>
      <c r="AG54" s="19">
        <f t="shared" si="33"/>
        <v>11.8664996455886</v>
      </c>
      <c r="AH54" s="19">
        <f t="shared" si="33"/>
        <v>11.5717537423113</v>
      </c>
      <c r="AI54" s="19">
        <f t="shared" si="33"/>
        <v>8.2013432159027992</v>
      </c>
      <c r="AJ54" s="19" t="str">
        <f t="shared" si="33"/>
        <v/>
      </c>
      <c r="AK54" s="19" t="str">
        <f t="shared" si="33"/>
        <v/>
      </c>
      <c r="AS54">
        <v>51.638514609600001</v>
      </c>
      <c r="AT54">
        <v>51.196017137600002</v>
      </c>
      <c r="AU54">
        <v>53.823207085</v>
      </c>
      <c r="AV54">
        <v>53.4572160069999</v>
      </c>
      <c r="AW54">
        <v>49.809330486083802</v>
      </c>
    </row>
    <row r="55" spans="1:50">
      <c r="A55" t="s">
        <v>226</v>
      </c>
      <c r="B55" s="1" t="s">
        <v>227</v>
      </c>
      <c r="C55" t="s">
        <v>228</v>
      </c>
      <c r="D55" t="s">
        <v>229</v>
      </c>
      <c r="E55" s="1"/>
      <c r="F55" t="s">
        <v>92</v>
      </c>
      <c r="G55" s="1" t="s">
        <v>56</v>
      </c>
      <c r="H55" t="s">
        <v>57</v>
      </c>
      <c r="I55" s="3">
        <v>44561</v>
      </c>
      <c r="J55" s="22">
        <v>1908000000000</v>
      </c>
      <c r="K55" s="22">
        <v>359460000000</v>
      </c>
      <c r="L55" s="22">
        <v>7400000000000</v>
      </c>
      <c r="M55">
        <f>L55+356460000000</f>
        <v>7756460000000</v>
      </c>
      <c r="N55" s="22">
        <v>576700000000</v>
      </c>
      <c r="O55" t="s">
        <v>64</v>
      </c>
      <c r="P55" t="s">
        <v>177</v>
      </c>
      <c r="S55" s="76">
        <f>46.6*(52/44.7)</f>
        <v>54.210290827740494</v>
      </c>
      <c r="T55">
        <v>52</v>
      </c>
      <c r="U55">
        <v>50.2</v>
      </c>
      <c r="V55">
        <v>52.3</v>
      </c>
      <c r="W55"/>
      <c r="Z55" s="76">
        <f>14.7*(19/14.7)</f>
        <v>19</v>
      </c>
      <c r="AA55">
        <v>19</v>
      </c>
      <c r="AB55">
        <v>18.100000000000001</v>
      </c>
      <c r="AC55">
        <v>15.5</v>
      </c>
      <c r="AD55"/>
      <c r="AE55" s="19" t="str">
        <f t="shared" si="33"/>
        <v/>
      </c>
      <c r="AF55" s="19" t="str">
        <f t="shared" si="33"/>
        <v/>
      </c>
      <c r="AG55" s="19">
        <f t="shared" si="33"/>
        <v>73.210290827740494</v>
      </c>
      <c r="AH55" s="19">
        <f t="shared" si="33"/>
        <v>71</v>
      </c>
      <c r="AI55" s="19">
        <f t="shared" si="33"/>
        <v>68.300000000000011</v>
      </c>
      <c r="AJ55" s="19">
        <f t="shared" si="33"/>
        <v>67.8</v>
      </c>
      <c r="AK55" s="19" t="str">
        <f t="shared" si="33"/>
        <v/>
      </c>
      <c r="AN55" s="83">
        <f>AU55*0.43</f>
        <v>2134.52</v>
      </c>
      <c r="AO55" s="83">
        <f t="shared" ref="AO55:AQ55" si="34">AV55*0.43</f>
        <v>2071.7399999999998</v>
      </c>
      <c r="AP55" s="83">
        <f t="shared" si="34"/>
        <v>1946.18</v>
      </c>
      <c r="AQ55" s="83">
        <f t="shared" si="34"/>
        <v>1930.4849999999999</v>
      </c>
      <c r="AU55">
        <f>13.6*365</f>
        <v>4964</v>
      </c>
      <c r="AV55">
        <f>13.2*365</f>
        <v>4818</v>
      </c>
      <c r="AW55">
        <f>12.4*365</f>
        <v>4526</v>
      </c>
      <c r="AX55">
        <f>12.3*365</f>
        <v>4489.5</v>
      </c>
    </row>
    <row r="56" spans="1:50">
      <c r="A56" t="s">
        <v>230</v>
      </c>
      <c r="B56" s="1" t="s">
        <v>231</v>
      </c>
      <c r="C56" t="s">
        <v>232</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W56"/>
      <c r="X56">
        <v>0</v>
      </c>
      <c r="Y56">
        <v>0</v>
      </c>
      <c r="Z56">
        <v>0</v>
      </c>
      <c r="AA56">
        <v>0</v>
      </c>
      <c r="AB56">
        <v>0</v>
      </c>
      <c r="AD56"/>
      <c r="AE56" s="19">
        <f t="shared" si="33"/>
        <v>0.93325631030505496</v>
      </c>
      <c r="AF56" s="19">
        <f t="shared" si="33"/>
        <v>1.0145733542115101</v>
      </c>
      <c r="AG56" s="19">
        <f t="shared" si="33"/>
        <v>0.78712423475055404</v>
      </c>
      <c r="AH56" s="19">
        <f t="shared" si="33"/>
        <v>0.49535753618873202</v>
      </c>
      <c r="AI56" s="19">
        <f t="shared" si="33"/>
        <v>0.81038145236854997</v>
      </c>
      <c r="AJ56" s="19" t="str">
        <f t="shared" si="33"/>
        <v/>
      </c>
      <c r="AK56" s="19" t="str">
        <f t="shared" si="33"/>
        <v/>
      </c>
      <c r="AS56">
        <v>2.4300410000000001</v>
      </c>
      <c r="AT56">
        <v>2.6489569999999998</v>
      </c>
      <c r="AU56">
        <v>2.03335</v>
      </c>
      <c r="AV56">
        <v>1.263015</v>
      </c>
      <c r="AW56">
        <v>2.1170110000000002</v>
      </c>
    </row>
    <row r="57" spans="1:50">
      <c r="A57" t="s">
        <v>233</v>
      </c>
      <c r="B57" s="1" t="s">
        <v>234</v>
      </c>
      <c r="C57" t="s">
        <v>235</v>
      </c>
      <c r="D57" t="s">
        <v>90</v>
      </c>
      <c r="E57" s="1" t="s">
        <v>91</v>
      </c>
      <c r="F57" t="s">
        <v>92</v>
      </c>
      <c r="G57" s="1" t="s">
        <v>56</v>
      </c>
      <c r="H57" t="s">
        <v>57</v>
      </c>
      <c r="I57" s="3">
        <v>44561</v>
      </c>
      <c r="J57" s="22">
        <v>89760000000</v>
      </c>
      <c r="K57" s="22">
        <v>261500000000</v>
      </c>
      <c r="L57" s="22">
        <v>147090000000</v>
      </c>
      <c r="M57">
        <f>L57+38970000000</f>
        <v>186060000000</v>
      </c>
      <c r="N57" s="22">
        <v>404379000000</v>
      </c>
      <c r="O57" t="s">
        <v>64</v>
      </c>
      <c r="P57" t="s">
        <v>236</v>
      </c>
      <c r="Q57">
        <v>68</v>
      </c>
      <c r="R57">
        <v>73</v>
      </c>
      <c r="S57">
        <v>71</v>
      </c>
      <c r="T57">
        <v>70</v>
      </c>
      <c r="U57">
        <v>63</v>
      </c>
      <c r="V57">
        <v>60</v>
      </c>
      <c r="W57"/>
      <c r="Y57">
        <v>12</v>
      </c>
      <c r="Z57">
        <v>11</v>
      </c>
      <c r="AA57">
        <v>10</v>
      </c>
      <c r="AB57">
        <v>8</v>
      </c>
      <c r="AC57">
        <v>8</v>
      </c>
      <c r="AD57"/>
      <c r="AE57" s="19">
        <f t="shared" ref="AE57:AJ60" si="35">IF(ISBLANK(Q57),IF(ISBLANK(X57),"",X57),Q57+X57)</f>
        <v>68</v>
      </c>
      <c r="AF57" s="19">
        <f t="shared" si="35"/>
        <v>85</v>
      </c>
      <c r="AG57" s="19">
        <f t="shared" si="35"/>
        <v>82</v>
      </c>
      <c r="AH57" s="19">
        <f t="shared" si="35"/>
        <v>80</v>
      </c>
      <c r="AI57" s="19">
        <f t="shared" si="35"/>
        <v>71</v>
      </c>
      <c r="AJ57" s="19">
        <f t="shared" si="35"/>
        <v>68</v>
      </c>
      <c r="AK57" s="19"/>
      <c r="AL57" s="76">
        <f>186+87+1318+582+736</f>
        <v>2909</v>
      </c>
      <c r="AM57">
        <f>186+87+1318+582+736</f>
        <v>2909</v>
      </c>
      <c r="AN57">
        <f>190+96+1351+594+757</f>
        <v>2988</v>
      </c>
      <c r="AO57">
        <f>178+102+1271+564+708</f>
        <v>2823</v>
      </c>
      <c r="AP57">
        <f>147+103+1054+452+602</f>
        <v>2358</v>
      </c>
      <c r="AQ57">
        <f>147+136+6+1010+380+630</f>
        <v>2309</v>
      </c>
      <c r="AS57" s="76">
        <v>21.44</v>
      </c>
      <c r="AT57">
        <v>21.44</v>
      </c>
      <c r="AU57">
        <v>22</v>
      </c>
      <c r="AV57">
        <v>21.05</v>
      </c>
      <c r="AW57">
        <v>18.399999999999999</v>
      </c>
      <c r="AX57">
        <v>17.89</v>
      </c>
    </row>
    <row r="58" spans="1:50">
      <c r="A58" t="s">
        <v>395</v>
      </c>
      <c r="B58" s="1" t="s">
        <v>396</v>
      </c>
      <c r="C58" t="s">
        <v>397</v>
      </c>
      <c r="D58" t="s">
        <v>398</v>
      </c>
      <c r="E58" s="1"/>
      <c r="F58" t="s">
        <v>92</v>
      </c>
      <c r="G58" s="1" t="s">
        <v>56</v>
      </c>
      <c r="H58" t="s">
        <v>57</v>
      </c>
      <c r="I58" s="3">
        <v>44561</v>
      </c>
      <c r="J58" s="22">
        <v>75290000000</v>
      </c>
      <c r="K58" s="22">
        <v>401300000000</v>
      </c>
      <c r="L58" s="22">
        <v>778290000000</v>
      </c>
      <c r="M58" s="22">
        <f>L58+234950000000</f>
        <v>1013240000000</v>
      </c>
      <c r="N58" s="22">
        <v>44619130000</v>
      </c>
      <c r="O58" t="s">
        <v>64</v>
      </c>
      <c r="P58" t="s">
        <v>177</v>
      </c>
      <c r="T58">
        <v>125.68</v>
      </c>
      <c r="U58">
        <v>128.58000000000001</v>
      </c>
      <c r="V58">
        <v>148.38</v>
      </c>
      <c r="W58"/>
      <c r="AA58">
        <v>45.01</v>
      </c>
      <c r="AB58">
        <v>42.36</v>
      </c>
      <c r="AC58">
        <v>24.18</v>
      </c>
      <c r="AD58"/>
      <c r="AE58" s="19" t="str">
        <f t="shared" ref="AE58" si="36">IF(ISBLANK(Q58),IF(ISBLANK(X58),"",X58),Q58+X58)</f>
        <v/>
      </c>
      <c r="AF58" s="19" t="str">
        <f t="shared" ref="AF58" si="37">IF(ISBLANK(R58),IF(ISBLANK(Y58),"",Y58),R58+Y58)</f>
        <v/>
      </c>
      <c r="AG58" s="19" t="str">
        <f t="shared" ref="AG58" si="38">IF(ISBLANK(S58),IF(ISBLANK(Z58),"",Z58),S58+Z58)</f>
        <v/>
      </c>
      <c r="AH58" s="19">
        <f t="shared" ref="AH58" si="39">IF(ISBLANK(T58),IF(ISBLANK(AA58),"",AA58),T58+AA58)</f>
        <v>170.69</v>
      </c>
      <c r="AI58" s="19">
        <f t="shared" ref="AI58" si="40">IF(ISBLANK(U58),IF(ISBLANK(AB58),"",AB58),U58+AB58)</f>
        <v>170.94</v>
      </c>
      <c r="AJ58" s="19">
        <f t="shared" ref="AJ58" si="41">IF(ISBLANK(V58),IF(ISBLANK(AC58),"",AC58),V58+AC58)</f>
        <v>172.56</v>
      </c>
      <c r="AK58" s="19"/>
      <c r="AO58">
        <f>AV58*0.43</f>
        <v>197.3356</v>
      </c>
      <c r="AP58">
        <f>AW58*0.43</f>
        <v>197.37859999999998</v>
      </c>
      <c r="AQ58">
        <f>AX58*0.43</f>
        <v>206.28819999999999</v>
      </c>
      <c r="AV58">
        <v>458.92</v>
      </c>
      <c r="AW58">
        <v>459.02</v>
      </c>
      <c r="AX58">
        <v>479.74</v>
      </c>
    </row>
    <row r="59" spans="1:50">
      <c r="A59" t="s">
        <v>400</v>
      </c>
      <c r="B59" s="1" t="s">
        <v>399</v>
      </c>
      <c r="C59" t="s">
        <v>402</v>
      </c>
      <c r="D59" t="s">
        <v>213</v>
      </c>
      <c r="E59" s="1"/>
      <c r="F59" t="s">
        <v>92</v>
      </c>
      <c r="G59" s="1" t="s">
        <v>56</v>
      </c>
      <c r="H59" t="s">
        <v>57</v>
      </c>
      <c r="I59" s="3">
        <v>44561</v>
      </c>
      <c r="J59" s="22">
        <v>16740000000</v>
      </c>
      <c r="K59" s="22">
        <v>40270000000</v>
      </c>
      <c r="L59" s="22">
        <f>29980000000000/1188.8371</f>
        <v>25217920941.39727</v>
      </c>
      <c r="M59" s="22">
        <f>L59+11000000000000/1188.8371</f>
        <v>34470660446.24617</v>
      </c>
      <c r="N59" s="22">
        <f>49560000000000/1188.8371</f>
        <v>41687797260.028313</v>
      </c>
      <c r="O59" t="s">
        <v>58</v>
      </c>
      <c r="P59" t="s">
        <v>403</v>
      </c>
      <c r="R59">
        <f>10515907</f>
        <v>10515907</v>
      </c>
      <c r="S59">
        <f>10484559</f>
        <v>10484559</v>
      </c>
      <c r="T59">
        <f>10117596</f>
        <v>10117596</v>
      </c>
      <c r="U59">
        <f>9703851</f>
        <v>9703851</v>
      </c>
      <c r="V59" s="87">
        <f>AJ59-AC59</f>
        <v>8521728.0528707132</v>
      </c>
      <c r="W59"/>
      <c r="Y59">
        <f>2387301</f>
        <v>2387301</v>
      </c>
      <c r="Z59">
        <f>2480244</f>
        <v>2480244</v>
      </c>
      <c r="AA59">
        <f>2400554</f>
        <v>2400554</v>
      </c>
      <c r="AB59">
        <f>2389387</f>
        <v>2389387</v>
      </c>
      <c r="AC59" s="76">
        <f>AB59/AA59*AB59</f>
        <v>2378271.9471292878</v>
      </c>
      <c r="AD59"/>
      <c r="AE59" s="19" t="str">
        <f t="shared" ref="AE59" si="42">IF(ISBLANK(Q59),IF(ISBLANK(X59),"",X59),Q59+X59)</f>
        <v/>
      </c>
      <c r="AF59" s="19">
        <f t="shared" ref="AF59" si="43">IF(ISBLANK(R59),IF(ISBLANK(Y59),"",Y59),R59+Y59)</f>
        <v>12903208</v>
      </c>
      <c r="AG59" s="19">
        <f t="shared" ref="AG59" si="44">IF(ISBLANK(S59),IF(ISBLANK(Z59),"",Z59),S59+Z59)</f>
        <v>12964803</v>
      </c>
      <c r="AH59" s="19">
        <f t="shared" ref="AH59" si="45">IF(ISBLANK(T59),IF(ISBLANK(AA59),"",AA59),T59+AA59)</f>
        <v>12518150</v>
      </c>
      <c r="AI59" s="19">
        <f t="shared" ref="AI59" si="46">IF(ISBLANK(U59),IF(ISBLANK(AB59),"",AB59),U59+AB59)</f>
        <v>12093238</v>
      </c>
      <c r="AJ59" s="22">
        <v>10900000</v>
      </c>
      <c r="AM59" s="76">
        <f>151800000</f>
        <v>151800000</v>
      </c>
      <c r="AN59" s="76">
        <f>151800000</f>
        <v>151800000</v>
      </c>
      <c r="AO59">
        <f>151800000</f>
        <v>151800000</v>
      </c>
      <c r="AP59">
        <f>131470000</f>
        <v>131470000</v>
      </c>
      <c r="AQ59">
        <f>118350000</f>
        <v>118350000</v>
      </c>
      <c r="AT59" s="76">
        <f>AM59/0.43</f>
        <v>353023255.81395352</v>
      </c>
      <c r="AU59" s="76">
        <f>AN59/0.43</f>
        <v>353023255.81395352</v>
      </c>
      <c r="AV59" s="76">
        <f>AO59/0.43</f>
        <v>353023255.81395352</v>
      </c>
      <c r="AW59" s="76">
        <f>AP59/0.43</f>
        <v>305744186.04651165</v>
      </c>
      <c r="AX59" s="76">
        <f>SUM(AV59:AW59)/2</f>
        <v>329383720.93023258</v>
      </c>
    </row>
    <row r="60" spans="1:50">
      <c r="A60" t="s">
        <v>237</v>
      </c>
      <c r="B60" s="1" t="s">
        <v>238</v>
      </c>
      <c r="C60" t="s">
        <v>239</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W60"/>
      <c r="X60">
        <v>0</v>
      </c>
      <c r="Y60">
        <v>0</v>
      </c>
      <c r="Z60">
        <v>0</v>
      </c>
      <c r="AA60">
        <v>0</v>
      </c>
      <c r="AB60">
        <v>0</v>
      </c>
      <c r="AD60"/>
      <c r="AE60" s="19">
        <f t="shared" si="35"/>
        <v>73.158060139100499</v>
      </c>
      <c r="AF60" s="19">
        <f t="shared" si="35"/>
        <v>68.701762309261795</v>
      </c>
      <c r="AG60" s="19">
        <f t="shared" si="35"/>
        <v>70.065115266754603</v>
      </c>
      <c r="AH60" s="19">
        <f t="shared" si="35"/>
        <v>63.436734029678099</v>
      </c>
      <c r="AI60" s="19">
        <f t="shared" si="35"/>
        <v>55.268400132395499</v>
      </c>
      <c r="AJ60" s="19" t="str">
        <f t="shared" si="35"/>
        <v/>
      </c>
      <c r="AK60" s="19" t="str">
        <f>IF(ISBLANK(W60),IF(ISBLANK(AD60),"",AD60),W60+AD60)</f>
        <v/>
      </c>
      <c r="AS60">
        <v>142.170798416672</v>
      </c>
      <c r="AT60">
        <v>139.134164092411</v>
      </c>
      <c r="AU60">
        <v>143.25452060572201</v>
      </c>
      <c r="AV60">
        <v>139.142471613559</v>
      </c>
      <c r="AW60">
        <v>133.66992427778101</v>
      </c>
    </row>
    <row r="61" spans="1:50">
      <c r="A61" t="s">
        <v>240</v>
      </c>
      <c r="B61" s="1" t="s">
        <v>241</v>
      </c>
      <c r="C61" t="s">
        <v>242</v>
      </c>
      <c r="D61" t="s">
        <v>54</v>
      </c>
      <c r="E61" s="1" t="s">
        <v>63</v>
      </c>
      <c r="F61" t="s">
        <v>97</v>
      </c>
      <c r="G61" s="1" t="s">
        <v>56</v>
      </c>
      <c r="H61" t="s">
        <v>57</v>
      </c>
      <c r="I61">
        <v>2019</v>
      </c>
      <c r="J61">
        <v>5000000000</v>
      </c>
      <c r="K61">
        <v>10464991000</v>
      </c>
      <c r="L61">
        <v>6352884000</v>
      </c>
      <c r="M61">
        <v>7734344000</v>
      </c>
      <c r="N61">
        <v>8275765000</v>
      </c>
      <c r="O61" t="s">
        <v>58</v>
      </c>
      <c r="P61" t="s">
        <v>413</v>
      </c>
      <c r="Q61">
        <v>3215942</v>
      </c>
      <c r="R61">
        <v>3215942</v>
      </c>
      <c r="S61">
        <v>3299883</v>
      </c>
      <c r="T61">
        <v>3145097</v>
      </c>
      <c r="U61">
        <v>3063829.9454545402</v>
      </c>
      <c r="W61"/>
      <c r="X61">
        <v>1700245</v>
      </c>
      <c r="Y61">
        <v>1700245</v>
      </c>
      <c r="Z61">
        <v>1863045</v>
      </c>
      <c r="AA61">
        <v>1744669</v>
      </c>
      <c r="AB61">
        <v>1694260.13636364</v>
      </c>
      <c r="AD61"/>
      <c r="AE61">
        <v>4916187</v>
      </c>
      <c r="AF61">
        <v>4916187</v>
      </c>
      <c r="AG61">
        <v>5162928</v>
      </c>
      <c r="AH61">
        <v>4889766</v>
      </c>
      <c r="AI61">
        <v>4758090.0818181802</v>
      </c>
      <c r="AS61">
        <v>8529969</v>
      </c>
      <c r="AT61">
        <v>8529969</v>
      </c>
      <c r="AU61">
        <v>9074135</v>
      </c>
      <c r="AV61">
        <v>8793160</v>
      </c>
      <c r="AW61">
        <v>8925057.4000000004</v>
      </c>
    </row>
    <row r="62" spans="1:50">
      <c r="A62" t="s">
        <v>243</v>
      </c>
      <c r="B62" s="1" t="s">
        <v>244</v>
      </c>
      <c r="C62" t="s">
        <v>245</v>
      </c>
      <c r="D62" t="s">
        <v>162</v>
      </c>
      <c r="E62" s="1" t="s">
        <v>63</v>
      </c>
      <c r="F62" t="s">
        <v>55</v>
      </c>
      <c r="G62" s="1" t="s">
        <v>56</v>
      </c>
      <c r="H62" t="s">
        <v>57</v>
      </c>
      <c r="I62">
        <v>2019</v>
      </c>
      <c r="J62" s="30">
        <v>50030000000</v>
      </c>
      <c r="K62">
        <v>10175225448.559799</v>
      </c>
      <c r="L62" s="76">
        <f t="shared" ref="L62:L63" si="47">J62</f>
        <v>50030000000</v>
      </c>
      <c r="M62" s="76">
        <f t="shared" ref="M62:M63" si="48">J62</f>
        <v>50030000000</v>
      </c>
      <c r="N62">
        <v>76211709340.442902</v>
      </c>
      <c r="O62" t="s">
        <v>64</v>
      </c>
      <c r="P62" t="s">
        <v>65</v>
      </c>
      <c r="Q62">
        <v>0.376086646397781</v>
      </c>
      <c r="R62">
        <v>0.47113547279974</v>
      </c>
      <c r="S62">
        <v>0.71664363849399704</v>
      </c>
      <c r="T62">
        <v>0.58371024316223097</v>
      </c>
      <c r="U62">
        <v>0.54203648477180599</v>
      </c>
      <c r="W62"/>
      <c r="X62">
        <v>0</v>
      </c>
      <c r="Y62">
        <v>0</v>
      </c>
      <c r="Z62">
        <v>0</v>
      </c>
      <c r="AA62">
        <v>0</v>
      </c>
      <c r="AB62">
        <v>0</v>
      </c>
      <c r="AD62"/>
      <c r="AE62" s="19">
        <f t="shared" ref="AE62:AK62" si="49">IF(ISBLANK(Q62),IF(ISBLANK(X62),"",X62),Q62+X62)</f>
        <v>0.376086646397781</v>
      </c>
      <c r="AF62" s="19">
        <f t="shared" si="49"/>
        <v>0.47113547279974</v>
      </c>
      <c r="AG62" s="19">
        <f t="shared" si="49"/>
        <v>0.71664363849399704</v>
      </c>
      <c r="AH62" s="19">
        <f t="shared" si="49"/>
        <v>0.58371024316223097</v>
      </c>
      <c r="AI62" s="19">
        <f t="shared" si="49"/>
        <v>0.54203648477180599</v>
      </c>
      <c r="AJ62" s="19" t="str">
        <f t="shared" si="49"/>
        <v/>
      </c>
      <c r="AK62" s="19" t="str">
        <f t="shared" si="49"/>
        <v/>
      </c>
      <c r="AS62">
        <v>2.0033089999999998</v>
      </c>
      <c r="AT62">
        <v>1.0567139999999999</v>
      </c>
      <c r="AU62">
        <v>1.51502</v>
      </c>
      <c r="AV62">
        <v>1.2483029999999999</v>
      </c>
      <c r="AW62">
        <v>1.2963249999999999</v>
      </c>
    </row>
    <row r="63" spans="1:50">
      <c r="A63" t="s">
        <v>246</v>
      </c>
      <c r="B63" s="1" t="s">
        <v>247</v>
      </c>
      <c r="C63" t="s">
        <v>248</v>
      </c>
      <c r="D63" t="s">
        <v>249</v>
      </c>
      <c r="E63" s="1" t="s">
        <v>91</v>
      </c>
      <c r="F63" t="s">
        <v>97</v>
      </c>
      <c r="G63" s="1" t="s">
        <v>56</v>
      </c>
      <c r="H63" t="s">
        <v>57</v>
      </c>
      <c r="I63">
        <v>2019</v>
      </c>
      <c r="J63" s="31">
        <v>590000000</v>
      </c>
      <c r="K63">
        <v>7294055000</v>
      </c>
      <c r="L63" s="76">
        <f t="shared" si="47"/>
        <v>590000000</v>
      </c>
      <c r="M63" s="76">
        <f t="shared" si="48"/>
        <v>590000000</v>
      </c>
      <c r="N63">
        <v>14842991000</v>
      </c>
      <c r="O63" t="s">
        <v>58</v>
      </c>
      <c r="P63" t="s">
        <v>413</v>
      </c>
      <c r="Q63">
        <v>2000000</v>
      </c>
      <c r="R63">
        <v>2000000</v>
      </c>
      <c r="S63">
        <v>2000000</v>
      </c>
      <c r="T63">
        <v>1800000</v>
      </c>
      <c r="U63">
        <v>1100000</v>
      </c>
      <c r="W63"/>
      <c r="X63">
        <v>1000000</v>
      </c>
      <c r="Y63">
        <v>1000000</v>
      </c>
      <c r="Z63">
        <v>1000000</v>
      </c>
      <c r="AA63">
        <v>800000</v>
      </c>
      <c r="AB63">
        <v>400000</v>
      </c>
      <c r="AD63"/>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404</v>
      </c>
      <c r="B64" s="1" t="s">
        <v>405</v>
      </c>
      <c r="C64" t="s">
        <v>406</v>
      </c>
      <c r="D64" t="s">
        <v>193</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137</v>
      </c>
      <c r="P64" t="s">
        <v>59</v>
      </c>
      <c r="S64">
        <v>81604</v>
      </c>
      <c r="T64">
        <v>191</v>
      </c>
      <c r="U64">
        <v>190</v>
      </c>
      <c r="V64">
        <v>192</v>
      </c>
      <c r="W64"/>
      <c r="Z64">
        <v>532</v>
      </c>
      <c r="AA64">
        <v>5886</v>
      </c>
      <c r="AB64">
        <v>5205</v>
      </c>
      <c r="AC64">
        <v>6108</v>
      </c>
      <c r="AD64"/>
      <c r="AE64" s="19" t="str">
        <f t="shared" ref="AE64" si="50">IF(ISBLANK(Q64),IF(ISBLANK(X64),"",X64),Q64+X64)</f>
        <v/>
      </c>
      <c r="AF64" s="19" t="str">
        <f t="shared" ref="AF64" si="51">IF(ISBLANK(R64),IF(ISBLANK(Y64),"",Y64),R64+Y64)</f>
        <v/>
      </c>
      <c r="AG64" s="19">
        <f t="shared" ref="AG64" si="52">IF(ISBLANK(S64),IF(ISBLANK(Z64),"",Z64),S64+Z64)</f>
        <v>82136</v>
      </c>
      <c r="AH64" s="19">
        <f t="shared" ref="AH64" si="53">IF(ISBLANK(T64),IF(ISBLANK(AA64),"",AA64),T64+AA64)</f>
        <v>6077</v>
      </c>
      <c r="AI64" s="19">
        <f t="shared" ref="AI64" si="54">IF(ISBLANK(U64),IF(ISBLANK(AB64),"",AB64),U64+AB64)</f>
        <v>5395</v>
      </c>
      <c r="AJ64" s="19">
        <f t="shared" ref="AJ64" si="55">IF(ISBLANK(V64),IF(ISBLANK(AC64),"",AC64),V64+AC64)</f>
        <v>6300</v>
      </c>
      <c r="AK64" s="19" t="str">
        <f t="shared" ref="AK64" si="56">IF(ISBLANK(W64),IF(ISBLANK(AD64),"",AD64),W64+AD64)</f>
        <v/>
      </c>
      <c r="AN64">
        <v>42355</v>
      </c>
      <c r="AO64">
        <v>121446</v>
      </c>
      <c r="AP64">
        <v>110119</v>
      </c>
      <c r="AQ64">
        <v>102137</v>
      </c>
      <c r="AU64">
        <v>230306</v>
      </c>
      <c r="AV64">
        <v>222277</v>
      </c>
      <c r="AW64">
        <v>204484</v>
      </c>
      <c r="AX64">
        <v>233812</v>
      </c>
    </row>
    <row r="65" spans="1:50">
      <c r="A65" t="s">
        <v>250</v>
      </c>
      <c r="B65" s="1" t="s">
        <v>251</v>
      </c>
      <c r="C65" t="s">
        <v>252</v>
      </c>
      <c r="D65" t="s">
        <v>249</v>
      </c>
      <c r="E65" s="1" t="s">
        <v>91</v>
      </c>
      <c r="F65" t="s">
        <v>97</v>
      </c>
      <c r="G65" s="1" t="s">
        <v>56</v>
      </c>
      <c r="H65" t="s">
        <v>57</v>
      </c>
      <c r="I65">
        <v>2019</v>
      </c>
      <c r="J65" s="31">
        <v>352130000</v>
      </c>
      <c r="K65">
        <v>10192818000</v>
      </c>
      <c r="L65" s="76">
        <f>J65</f>
        <v>352130000</v>
      </c>
      <c r="M65" s="76">
        <f>J65</f>
        <v>352130000</v>
      </c>
      <c r="N65">
        <v>12935533000</v>
      </c>
      <c r="O65" t="s">
        <v>58</v>
      </c>
      <c r="P65" t="s">
        <v>413</v>
      </c>
      <c r="Q65">
        <v>17744560</v>
      </c>
      <c r="R65">
        <v>17744560</v>
      </c>
      <c r="S65">
        <v>17744560</v>
      </c>
      <c r="T65">
        <v>16682357</v>
      </c>
      <c r="U65">
        <v>15257923</v>
      </c>
      <c r="W65"/>
      <c r="X65">
        <v>858941</v>
      </c>
      <c r="Y65">
        <v>858941</v>
      </c>
      <c r="Z65">
        <v>858941</v>
      </c>
      <c r="AA65">
        <v>1141024</v>
      </c>
      <c r="AB65">
        <v>1154111</v>
      </c>
      <c r="AD65"/>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253</v>
      </c>
      <c r="B66" s="1" t="s">
        <v>254</v>
      </c>
      <c r="C66" t="s">
        <v>255</v>
      </c>
      <c r="D66" t="s">
        <v>54</v>
      </c>
      <c r="E66" s="1" t="s">
        <v>63</v>
      </c>
      <c r="F66" t="s">
        <v>85</v>
      </c>
      <c r="G66" s="1" t="s">
        <v>56</v>
      </c>
      <c r="H66" t="s">
        <v>57</v>
      </c>
      <c r="I66" s="3">
        <v>44561</v>
      </c>
      <c r="J66" s="22">
        <v>1061000000000</v>
      </c>
      <c r="K66" s="22">
        <v>53820000000</v>
      </c>
      <c r="L66" s="22">
        <v>1090000000000</v>
      </c>
      <c r="M66" s="22">
        <f>L66+18920000000</f>
        <v>1108920000000</v>
      </c>
      <c r="N66" s="22">
        <v>62131000000</v>
      </c>
      <c r="O66" t="s">
        <v>137</v>
      </c>
      <c r="P66" t="s">
        <v>86</v>
      </c>
      <c r="R66">
        <f>185*100/900</f>
        <v>20.555555555555557</v>
      </c>
      <c r="S66">
        <f>185*250/900</f>
        <v>51.388888888888886</v>
      </c>
      <c r="T66">
        <f>185*350/900</f>
        <v>71.944444444444443</v>
      </c>
      <c r="U66">
        <f>185*500/900</f>
        <v>102.77777777777777</v>
      </c>
      <c r="V66">
        <f>185*900/900</f>
        <v>185</v>
      </c>
      <c r="W66"/>
      <c r="Y66">
        <f>403*100/900</f>
        <v>44.777777777777779</v>
      </c>
      <c r="Z66">
        <f>403*250/900</f>
        <v>111.94444444444444</v>
      </c>
      <c r="AA66">
        <f>403*350/900</f>
        <v>156.72222222222223</v>
      </c>
      <c r="AB66">
        <f>403*500/900</f>
        <v>223.88888888888889</v>
      </c>
      <c r="AC66">
        <f>403*900/900</f>
        <v>403</v>
      </c>
      <c r="AD66"/>
      <c r="AE66" s="19" t="str">
        <f t="shared" ref="AE66:AK66" si="57">IF(ISBLANK(Q66),IF(ISBLANK(X66),"",X66),Q66+X66)</f>
        <v/>
      </c>
      <c r="AF66" s="19">
        <f t="shared" si="57"/>
        <v>65.333333333333343</v>
      </c>
      <c r="AG66" s="19">
        <f t="shared" si="57"/>
        <v>163.33333333333331</v>
      </c>
      <c r="AH66" s="19">
        <f t="shared" si="57"/>
        <v>228.66666666666669</v>
      </c>
      <c r="AI66" s="19">
        <f t="shared" si="57"/>
        <v>326.66666666666663</v>
      </c>
      <c r="AJ66" s="19">
        <f t="shared" si="57"/>
        <v>588</v>
      </c>
      <c r="AK66" s="19" t="str">
        <f t="shared" si="57"/>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256</v>
      </c>
      <c r="B67" s="1" t="s">
        <v>257</v>
      </c>
      <c r="C67" t="s">
        <v>258</v>
      </c>
      <c r="D67" t="s">
        <v>54</v>
      </c>
      <c r="E67" s="1" t="s">
        <v>63</v>
      </c>
      <c r="F67" t="s">
        <v>97</v>
      </c>
      <c r="G67" s="1" t="s">
        <v>56</v>
      </c>
      <c r="H67" t="s">
        <v>57</v>
      </c>
      <c r="I67">
        <v>2019</v>
      </c>
      <c r="J67">
        <v>337525844</v>
      </c>
      <c r="K67">
        <v>1208800000</v>
      </c>
      <c r="L67">
        <v>400425844</v>
      </c>
      <c r="M67">
        <v>427525844</v>
      </c>
      <c r="N67">
        <v>1085200000</v>
      </c>
      <c r="O67" t="s">
        <v>58</v>
      </c>
      <c r="P67" t="s">
        <v>413</v>
      </c>
      <c r="Q67">
        <v>99660</v>
      </c>
      <c r="R67">
        <v>99660</v>
      </c>
      <c r="S67">
        <v>99660</v>
      </c>
      <c r="T67">
        <v>94460</v>
      </c>
      <c r="U67">
        <v>91490</v>
      </c>
      <c r="W67"/>
      <c r="X67">
        <v>371530</v>
      </c>
      <c r="Y67">
        <v>371530</v>
      </c>
      <c r="Z67">
        <v>371530</v>
      </c>
      <c r="AA67">
        <v>336550</v>
      </c>
      <c r="AB67">
        <v>316640</v>
      </c>
      <c r="AD67"/>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259</v>
      </c>
      <c r="B68" s="1" t="s">
        <v>260</v>
      </c>
      <c r="C68" t="s">
        <v>261</v>
      </c>
      <c r="D68" t="s">
        <v>193</v>
      </c>
      <c r="E68" s="1"/>
      <c r="F68" t="s">
        <v>85</v>
      </c>
      <c r="G68" s="1" t="s">
        <v>56</v>
      </c>
      <c r="H68" t="s">
        <v>57</v>
      </c>
      <c r="I68" s="3">
        <v>44196</v>
      </c>
      <c r="J68" s="22">
        <v>216000000000</v>
      </c>
      <c r="K68" s="22">
        <v>251620000000</v>
      </c>
      <c r="L68" s="22">
        <v>372000000000</v>
      </c>
      <c r="M68">
        <f>L68+52400000000</f>
        <v>424400000000</v>
      </c>
      <c r="N68" s="22">
        <v>484660000000</v>
      </c>
      <c r="O68" t="s">
        <v>64</v>
      </c>
      <c r="P68" t="s">
        <v>416</v>
      </c>
      <c r="S68">
        <v>1.92</v>
      </c>
      <c r="T68">
        <v>1.9</v>
      </c>
      <c r="U68">
        <v>1.64</v>
      </c>
      <c r="V68">
        <v>1.69</v>
      </c>
      <c r="W68"/>
      <c r="Z68">
        <v>4.08</v>
      </c>
      <c r="AA68">
        <v>3.78</v>
      </c>
      <c r="AB68">
        <v>3.26</v>
      </c>
      <c r="AC68">
        <v>3.46</v>
      </c>
      <c r="AD68"/>
      <c r="AE68" s="19" t="str">
        <f t="shared" ref="AE68:AK68" si="58">IF(ISBLANK(Q68),IF(ISBLANK(X68),"",X68),Q68+X68)</f>
        <v/>
      </c>
      <c r="AF68" s="19" t="str">
        <f t="shared" si="58"/>
        <v/>
      </c>
      <c r="AG68" s="19">
        <f t="shared" si="58"/>
        <v>6</v>
      </c>
      <c r="AH68" s="19">
        <f t="shared" si="58"/>
        <v>5.68</v>
      </c>
      <c r="AI68" s="19">
        <f t="shared" si="58"/>
        <v>4.8999999999999995</v>
      </c>
      <c r="AJ68" s="19">
        <f t="shared" si="58"/>
        <v>5.15</v>
      </c>
      <c r="AK68" s="19" t="str">
        <f t="shared" si="58"/>
        <v/>
      </c>
      <c r="AN68">
        <v>414.91</v>
      </c>
      <c r="AO68">
        <v>397.94</v>
      </c>
      <c r="AP68">
        <v>341.35</v>
      </c>
      <c r="AQ68" s="76">
        <f>AP68/AO68*AP68</f>
        <v>292.80751495200286</v>
      </c>
      <c r="AT68" s="23"/>
      <c r="AU68" s="23">
        <f>AN68*0.8/150</f>
        <v>2.2128533333333338</v>
      </c>
      <c r="AV68" s="23">
        <f>AO68*0.8/140</f>
        <v>2.2739428571428575</v>
      </c>
      <c r="AW68" s="23">
        <f>AP68*0.8/130</f>
        <v>2.1006153846153848</v>
      </c>
      <c r="AX68" s="23">
        <f>AQ68*0.8/120</f>
        <v>1.9520500996800192</v>
      </c>
    </row>
    <row r="69" spans="1:50">
      <c r="A69" t="s">
        <v>262</v>
      </c>
      <c r="B69" s="1" t="s">
        <v>263</v>
      </c>
      <c r="C69" t="s">
        <v>264</v>
      </c>
      <c r="D69" t="s">
        <v>54</v>
      </c>
      <c r="E69" s="1" t="s">
        <v>63</v>
      </c>
      <c r="F69" t="s">
        <v>97</v>
      </c>
      <c r="G69" s="1" t="s">
        <v>56</v>
      </c>
      <c r="H69" t="s">
        <v>57</v>
      </c>
      <c r="I69">
        <v>2019</v>
      </c>
      <c r="J69">
        <v>2600000000</v>
      </c>
      <c r="K69">
        <v>12937000000</v>
      </c>
      <c r="L69">
        <v>5630000000</v>
      </c>
      <c r="M69">
        <v>6379000000</v>
      </c>
      <c r="N69">
        <v>11608000000</v>
      </c>
      <c r="O69" t="s">
        <v>58</v>
      </c>
      <c r="P69" t="s">
        <v>413</v>
      </c>
      <c r="Q69">
        <v>29000000</v>
      </c>
      <c r="R69">
        <v>30000000</v>
      </c>
      <c r="S69">
        <v>32500000</v>
      </c>
      <c r="T69">
        <v>29500000</v>
      </c>
      <c r="U69">
        <v>24500000</v>
      </c>
      <c r="W69"/>
      <c r="X69">
        <v>3200000</v>
      </c>
      <c r="Y69">
        <v>3300000</v>
      </c>
      <c r="Z69">
        <v>3300000</v>
      </c>
      <c r="AA69">
        <v>3200000</v>
      </c>
      <c r="AB69">
        <v>2000000</v>
      </c>
      <c r="AD69"/>
      <c r="AE69">
        <v>32200000</v>
      </c>
      <c r="AF69">
        <v>33300000</v>
      </c>
      <c r="AG69">
        <v>35800000</v>
      </c>
      <c r="AH69">
        <v>32700000</v>
      </c>
      <c r="AI69">
        <v>26500000</v>
      </c>
      <c r="AS69">
        <v>14220000</v>
      </c>
      <c r="AT69">
        <v>14440000</v>
      </c>
      <c r="AU69">
        <v>15350000</v>
      </c>
      <c r="AV69">
        <v>13890000</v>
      </c>
      <c r="AW69">
        <v>11540000</v>
      </c>
    </row>
    <row r="70" spans="1:50">
      <c r="A70" t="s">
        <v>265</v>
      </c>
      <c r="B70" s="1" t="s">
        <v>266</v>
      </c>
      <c r="C70" t="s">
        <v>267</v>
      </c>
      <c r="D70" t="s">
        <v>268</v>
      </c>
      <c r="E70" s="1" t="s">
        <v>91</v>
      </c>
      <c r="F70" t="s">
        <v>55</v>
      </c>
      <c r="G70" s="1" t="s">
        <v>56</v>
      </c>
      <c r="H70" t="s">
        <v>57</v>
      </c>
      <c r="I70" s="3">
        <v>44561</v>
      </c>
      <c r="J70">
        <v>34359400000</v>
      </c>
      <c r="K70">
        <v>4776600000</v>
      </c>
      <c r="L70">
        <f>M70-318600000</f>
        <v>37551600000</v>
      </c>
      <c r="M70">
        <f>J70+3510800000</f>
        <v>37870200000</v>
      </c>
      <c r="N70">
        <v>17111600000</v>
      </c>
      <c r="O70" t="s">
        <v>137</v>
      </c>
      <c r="P70" t="s">
        <v>59</v>
      </c>
      <c r="T70">
        <v>1073</v>
      </c>
      <c r="U70">
        <v>654</v>
      </c>
      <c r="V70">
        <v>454</v>
      </c>
      <c r="W70"/>
      <c r="AA70">
        <v>272</v>
      </c>
      <c r="AB70">
        <v>265</v>
      </c>
      <c r="AC70">
        <v>255</v>
      </c>
      <c r="AD70"/>
      <c r="AE70" s="19" t="str">
        <f t="shared" ref="AE70:AK73" si="59">IF(ISBLANK(Q70),IF(ISBLANK(X70),"",X70),Q70+X70)</f>
        <v/>
      </c>
      <c r="AF70" s="19" t="str">
        <f t="shared" si="59"/>
        <v/>
      </c>
      <c r="AG70" s="19" t="str">
        <f t="shared" si="59"/>
        <v/>
      </c>
      <c r="AH70" s="19">
        <f t="shared" si="59"/>
        <v>1345</v>
      </c>
      <c r="AI70" s="19">
        <f t="shared" si="59"/>
        <v>919</v>
      </c>
      <c r="AJ70" s="19">
        <f t="shared" si="59"/>
        <v>709</v>
      </c>
      <c r="AK70" s="19" t="str">
        <f t="shared" si="59"/>
        <v/>
      </c>
      <c r="AO70">
        <v>198</v>
      </c>
      <c r="AP70">
        <v>221</v>
      </c>
      <c r="AQ70">
        <v>249</v>
      </c>
      <c r="AV70">
        <v>62179</v>
      </c>
      <c r="AW70">
        <v>62741</v>
      </c>
      <c r="AX70">
        <v>58896</v>
      </c>
    </row>
    <row r="71" spans="1:50">
      <c r="A71" t="s">
        <v>269</v>
      </c>
      <c r="B71" s="1" t="s">
        <v>270</v>
      </c>
      <c r="C71" t="s">
        <v>271</v>
      </c>
      <c r="D71" t="s">
        <v>162</v>
      </c>
      <c r="E71" s="1" t="s">
        <v>63</v>
      </c>
      <c r="F71" t="s">
        <v>55</v>
      </c>
      <c r="G71" s="1" t="s">
        <v>56</v>
      </c>
      <c r="H71" t="s">
        <v>57</v>
      </c>
      <c r="I71">
        <v>2019</v>
      </c>
      <c r="J71" s="76">
        <f>J70</f>
        <v>34359400000</v>
      </c>
      <c r="K71">
        <v>4691120536.8652601</v>
      </c>
      <c r="L71" s="76">
        <f>L70</f>
        <v>37551600000</v>
      </c>
      <c r="M71" s="76">
        <f>M70</f>
        <v>37870200000</v>
      </c>
      <c r="N71">
        <v>24443570632.443699</v>
      </c>
      <c r="O71" t="s">
        <v>64</v>
      </c>
      <c r="P71" t="s">
        <v>65</v>
      </c>
      <c r="Q71">
        <v>11.6416389602593</v>
      </c>
      <c r="R71">
        <v>9.41263241795032</v>
      </c>
      <c r="S71">
        <v>10.1279024835251</v>
      </c>
      <c r="T71">
        <v>8.7046989666181105</v>
      </c>
      <c r="U71">
        <v>7.8127186930359001</v>
      </c>
      <c r="W71"/>
      <c r="X71">
        <v>0</v>
      </c>
      <c r="Y71">
        <v>0</v>
      </c>
      <c r="Z71">
        <v>0</v>
      </c>
      <c r="AA71">
        <v>0</v>
      </c>
      <c r="AB71">
        <v>0</v>
      </c>
      <c r="AD71"/>
      <c r="AE71" s="19">
        <f t="shared" si="59"/>
        <v>11.6416389602593</v>
      </c>
      <c r="AF71" s="19">
        <f t="shared" si="59"/>
        <v>9.41263241795032</v>
      </c>
      <c r="AG71" s="19">
        <f t="shared" si="59"/>
        <v>10.1279024835251</v>
      </c>
      <c r="AH71" s="19">
        <f t="shared" si="59"/>
        <v>8.7046989666181105</v>
      </c>
      <c r="AI71" s="19">
        <f t="shared" si="59"/>
        <v>7.8127186930359001</v>
      </c>
      <c r="AJ71" s="19" t="str">
        <f t="shared" si="59"/>
        <v/>
      </c>
      <c r="AK71" s="19" t="str">
        <f t="shared" si="59"/>
        <v/>
      </c>
      <c r="AS71">
        <v>17.412890000000001</v>
      </c>
      <c r="AT71">
        <v>13.2565779694781</v>
      </c>
      <c r="AU71">
        <v>19.823205962022801</v>
      </c>
      <c r="AV71">
        <v>19.4268650530346</v>
      </c>
      <c r="AW71">
        <v>18.5517652927645</v>
      </c>
    </row>
    <row r="72" spans="1:50">
      <c r="A72" t="s">
        <v>272</v>
      </c>
      <c r="B72" s="1" t="s">
        <v>273</v>
      </c>
      <c r="C72" t="s">
        <v>274</v>
      </c>
      <c r="D72" t="s">
        <v>54</v>
      </c>
      <c r="E72" s="1" t="s">
        <v>63</v>
      </c>
      <c r="F72" t="s">
        <v>55</v>
      </c>
      <c r="G72" s="1" t="s">
        <v>56</v>
      </c>
      <c r="H72" t="s">
        <v>57</v>
      </c>
      <c r="I72" s="3">
        <v>44561</v>
      </c>
      <c r="J72" s="22">
        <v>10980000000</v>
      </c>
      <c r="K72" s="22">
        <v>12100000000</v>
      </c>
      <c r="L72" s="22">
        <v>24980000000</v>
      </c>
      <c r="M72" s="22">
        <f>L72+1910000000</f>
        <v>26890000000</v>
      </c>
      <c r="N72" s="22">
        <v>29683000000</v>
      </c>
      <c r="O72" t="s">
        <v>64</v>
      </c>
      <c r="P72" t="s">
        <v>65</v>
      </c>
      <c r="T72">
        <f>105523364/1000000</f>
        <v>105.523364</v>
      </c>
      <c r="U72">
        <f>94290023/1000000</f>
        <v>94.290023000000005</v>
      </c>
      <c r="V72" s="20">
        <f>98749588/1000000</f>
        <v>98.749588000000003</v>
      </c>
      <c r="W72"/>
      <c r="AA72">
        <v>0.24906800000000001</v>
      </c>
      <c r="AB72">
        <v>0.33377000000000001</v>
      </c>
      <c r="AC72">
        <v>0.24296999999999999</v>
      </c>
      <c r="AD72"/>
      <c r="AE72" s="19" t="str">
        <f t="shared" si="59"/>
        <v/>
      </c>
      <c r="AF72" s="19" t="str">
        <f t="shared" si="59"/>
        <v/>
      </c>
      <c r="AG72" s="19" t="str">
        <f t="shared" si="59"/>
        <v/>
      </c>
      <c r="AH72" s="19">
        <f t="shared" si="59"/>
        <v>105.77243199999999</v>
      </c>
      <c r="AI72" s="19">
        <f t="shared" si="59"/>
        <v>94.623793000000006</v>
      </c>
      <c r="AJ72" s="19">
        <f t="shared" si="59"/>
        <v>98.992558000000002</v>
      </c>
      <c r="AK72" s="19" t="str">
        <f t="shared" si="59"/>
        <v/>
      </c>
      <c r="AO72">
        <f>AP72</f>
        <v>2.7247889999999999</v>
      </c>
      <c r="AP72">
        <v>2.7247889999999999</v>
      </c>
      <c r="AQ72">
        <f>2386622/1000000</f>
        <v>2.386622</v>
      </c>
      <c r="AV72">
        <f>186428605/1000000</f>
        <v>186.428605</v>
      </c>
      <c r="AW72">
        <f>172243738/1000000</f>
        <v>172.24373800000001</v>
      </c>
      <c r="AX72">
        <v>174</v>
      </c>
    </row>
    <row r="73" spans="1:50">
      <c r="A73" t="s">
        <v>275</v>
      </c>
      <c r="B73" s="1" t="s">
        <v>276</v>
      </c>
      <c r="C73" t="s">
        <v>277</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W73"/>
      <c r="X73">
        <v>0</v>
      </c>
      <c r="Y73">
        <v>0</v>
      </c>
      <c r="Z73">
        <v>0</v>
      </c>
      <c r="AA73">
        <v>0</v>
      </c>
      <c r="AB73">
        <v>0</v>
      </c>
      <c r="AD73"/>
      <c r="AE73" s="19">
        <f t="shared" si="59"/>
        <v>19.0203714477306</v>
      </c>
      <c r="AF73" s="19">
        <f t="shared" si="59"/>
        <v>19.627231815165601</v>
      </c>
      <c r="AG73" s="19">
        <f t="shared" si="59"/>
        <v>16.478434173257199</v>
      </c>
      <c r="AH73" s="19">
        <f t="shared" si="59"/>
        <v>9.8745765849492209</v>
      </c>
      <c r="AI73" s="19">
        <f t="shared" si="59"/>
        <v>9.6672977881650493</v>
      </c>
      <c r="AJ73" s="19" t="str">
        <f t="shared" si="59"/>
        <v/>
      </c>
      <c r="AK73" s="19" t="str">
        <f t="shared" si="59"/>
        <v/>
      </c>
      <c r="AS73">
        <v>23.3673241056539</v>
      </c>
      <c r="AT73">
        <v>23.864635428668901</v>
      </c>
      <c r="AU73">
        <v>21.139317437999999</v>
      </c>
      <c r="AV73">
        <v>15.874233994000001</v>
      </c>
      <c r="AW73">
        <v>15.8652856885</v>
      </c>
    </row>
    <row r="74" spans="1:50">
      <c r="A74" t="s">
        <v>278</v>
      </c>
      <c r="B74" s="1" t="s">
        <v>279</v>
      </c>
      <c r="C74" t="s">
        <v>280</v>
      </c>
      <c r="D74" t="s">
        <v>54</v>
      </c>
      <c r="E74" s="1" t="s">
        <v>63</v>
      </c>
      <c r="F74" t="s">
        <v>97</v>
      </c>
      <c r="G74" s="1" t="s">
        <v>56</v>
      </c>
      <c r="H74" t="s">
        <v>57</v>
      </c>
      <c r="I74">
        <v>2019</v>
      </c>
      <c r="J74">
        <v>1633376617</v>
      </c>
      <c r="K74">
        <v>3759556000</v>
      </c>
      <c r="L74">
        <v>2294113617</v>
      </c>
      <c r="M74">
        <v>2386476617</v>
      </c>
      <c r="N74">
        <v>2510796000</v>
      </c>
      <c r="O74" t="s">
        <v>58</v>
      </c>
      <c r="P74" t="s">
        <v>413</v>
      </c>
      <c r="Q74">
        <v>126399</v>
      </c>
      <c r="R74">
        <v>132944</v>
      </c>
      <c r="S74">
        <v>139953</v>
      </c>
      <c r="T74">
        <v>134257</v>
      </c>
      <c r="U74">
        <v>130506</v>
      </c>
      <c r="W74"/>
      <c r="X74">
        <v>191840</v>
      </c>
      <c r="Y74">
        <v>176617</v>
      </c>
      <c r="Z74">
        <v>175958</v>
      </c>
      <c r="AA74">
        <v>160799</v>
      </c>
      <c r="AB74">
        <v>139201</v>
      </c>
      <c r="AD74"/>
      <c r="AE74">
        <v>318239</v>
      </c>
      <c r="AF74">
        <v>309561</v>
      </c>
      <c r="AG74">
        <v>315911</v>
      </c>
      <c r="AH74">
        <v>295056</v>
      </c>
      <c r="AI74">
        <v>269707</v>
      </c>
      <c r="AS74">
        <v>3523000</v>
      </c>
      <c r="AT74">
        <v>4070000</v>
      </c>
      <c r="AU74">
        <v>3820000</v>
      </c>
      <c r="AV74">
        <v>3715000</v>
      </c>
      <c r="AW74">
        <v>3830000</v>
      </c>
    </row>
    <row r="75" spans="1:50">
      <c r="A75" t="s">
        <v>281</v>
      </c>
      <c r="B75" s="1" t="s">
        <v>282</v>
      </c>
      <c r="C75" t="s">
        <v>283</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W75"/>
      <c r="X75">
        <v>0</v>
      </c>
      <c r="Y75">
        <v>0</v>
      </c>
      <c r="Z75">
        <v>0</v>
      </c>
      <c r="AA75">
        <v>0</v>
      </c>
      <c r="AB75">
        <v>0</v>
      </c>
      <c r="AD75"/>
      <c r="AE75" s="19">
        <f t="shared" ref="AE75:AK76" si="60">IF(ISBLANK(Q75),IF(ISBLANK(X75),"",X75),Q75+X75)</f>
        <v>46.128179096556003</v>
      </c>
      <c r="AF75" s="19">
        <f t="shared" si="60"/>
        <v>45.010998633485997</v>
      </c>
      <c r="AG75" s="19">
        <f t="shared" si="60"/>
        <v>45.358516394732497</v>
      </c>
      <c r="AH75" s="19">
        <f t="shared" si="60"/>
        <v>41.448404774063498</v>
      </c>
      <c r="AI75" s="19">
        <f t="shared" si="60"/>
        <v>34.8794800473854</v>
      </c>
      <c r="AJ75" s="19" t="str">
        <f t="shared" si="60"/>
        <v/>
      </c>
      <c r="AK75" s="19" t="str">
        <f t="shared" si="60"/>
        <v/>
      </c>
      <c r="AS75">
        <v>73.830967827900906</v>
      </c>
      <c r="AT75">
        <v>72.028542699037601</v>
      </c>
      <c r="AU75">
        <v>76.006929525492396</v>
      </c>
      <c r="AV75">
        <v>75.731406905347697</v>
      </c>
      <c r="AW75">
        <v>69.493403520078303</v>
      </c>
    </row>
    <row r="76" spans="1:50">
      <c r="A76" t="s">
        <v>418</v>
      </c>
      <c r="B76" s="1" t="s">
        <v>419</v>
      </c>
      <c r="C76" t="s">
        <v>420</v>
      </c>
      <c r="D76" t="s">
        <v>90</v>
      </c>
      <c r="E76" s="1"/>
      <c r="F76" t="s">
        <v>421</v>
      </c>
      <c r="G76" s="1" t="s">
        <v>56</v>
      </c>
      <c r="H76" t="s">
        <v>57</v>
      </c>
      <c r="I76" s="3">
        <v>44561</v>
      </c>
      <c r="J76" s="22">
        <v>2260000000</v>
      </c>
      <c r="K76" s="22">
        <v>9690000000</v>
      </c>
      <c r="L76" s="22">
        <v>1810000000</v>
      </c>
      <c r="M76" s="22">
        <f>L76+1110000000</f>
        <v>2920000000</v>
      </c>
      <c r="N76" s="22">
        <v>4846000000</v>
      </c>
      <c r="O76" t="s">
        <v>58</v>
      </c>
      <c r="P76" t="s">
        <v>57</v>
      </c>
      <c r="R76">
        <v>170937</v>
      </c>
      <c r="S76">
        <v>175065</v>
      </c>
      <c r="T76">
        <v>167071</v>
      </c>
      <c r="U76">
        <v>162816</v>
      </c>
      <c r="V76">
        <v>199002</v>
      </c>
      <c r="Y76">
        <v>71170</v>
      </c>
      <c r="Z76">
        <v>49365</v>
      </c>
      <c r="AA76">
        <v>43561</v>
      </c>
      <c r="AB76">
        <v>42701</v>
      </c>
      <c r="AC76">
        <v>41779</v>
      </c>
      <c r="AE76" s="19" t="str">
        <f t="shared" ref="AE76:AJ77" si="61">IF(ISBLANK(Q76),IF(ISBLANK(X76),"",X76),Q76+X76)</f>
        <v/>
      </c>
      <c r="AF76" s="19">
        <f t="shared" si="61"/>
        <v>242107</v>
      </c>
      <c r="AG76" s="19">
        <f t="shared" si="61"/>
        <v>224430</v>
      </c>
      <c r="AH76" s="19">
        <f t="shared" si="61"/>
        <v>210632</v>
      </c>
      <c r="AI76" s="19">
        <f t="shared" si="61"/>
        <v>205517</v>
      </c>
      <c r="AJ76" s="19">
        <f t="shared" si="61"/>
        <v>240781</v>
      </c>
      <c r="AK76" s="19" t="str">
        <f t="shared" si="60"/>
        <v/>
      </c>
      <c r="AT76" s="22">
        <v>8234000000</v>
      </c>
      <c r="AU76" s="22">
        <v>7802000000</v>
      </c>
      <c r="AV76" s="22">
        <v>8405000000</v>
      </c>
      <c r="AW76" s="22">
        <v>8587000000</v>
      </c>
      <c r="AX76" s="22">
        <v>8280000000</v>
      </c>
    </row>
    <row r="77" spans="1:50">
      <c r="A77" t="s">
        <v>422</v>
      </c>
      <c r="B77" s="1" t="s">
        <v>423</v>
      </c>
      <c r="C77" t="s">
        <v>424</v>
      </c>
      <c r="D77" t="s">
        <v>54</v>
      </c>
      <c r="E77"/>
      <c r="F77" t="s">
        <v>417</v>
      </c>
      <c r="G77" s="1" t="s">
        <v>56</v>
      </c>
      <c r="H77" t="s">
        <v>57</v>
      </c>
      <c r="I77" s="3">
        <v>44561</v>
      </c>
      <c r="J77" s="22">
        <v>36310000000</v>
      </c>
      <c r="K77" s="22">
        <v>27740000000</v>
      </c>
      <c r="L77" s="22">
        <v>37840000000</v>
      </c>
      <c r="M77" s="22">
        <f>L77+1190000000</f>
        <v>39030000000</v>
      </c>
      <c r="N77" s="22">
        <v>22073000000</v>
      </c>
      <c r="O77" t="s">
        <v>58</v>
      </c>
      <c r="P77" t="s">
        <v>425</v>
      </c>
      <c r="Q77">
        <v>63414</v>
      </c>
      <c r="R77">
        <v>46057</v>
      </c>
      <c r="S77">
        <v>46069</v>
      </c>
      <c r="T77">
        <v>58770</v>
      </c>
      <c r="U77">
        <v>60379</v>
      </c>
      <c r="V77">
        <v>46251</v>
      </c>
      <c r="X77">
        <v>29678</v>
      </c>
      <c r="Y77">
        <v>25010</v>
      </c>
      <c r="Z77">
        <v>24439</v>
      </c>
      <c r="AA77">
        <v>28020</v>
      </c>
      <c r="AB77">
        <v>22644</v>
      </c>
      <c r="AC77">
        <v>19847</v>
      </c>
      <c r="AE77" s="19">
        <f t="shared" si="61"/>
        <v>93092</v>
      </c>
      <c r="AF77" s="19">
        <f t="shared" si="61"/>
        <v>71067</v>
      </c>
      <c r="AG77" s="19">
        <f t="shared" si="61"/>
        <v>70508</v>
      </c>
      <c r="AH77" s="19">
        <f t="shared" si="61"/>
        <v>86790</v>
      </c>
      <c r="AI77" s="19">
        <f t="shared" si="61"/>
        <v>83023</v>
      </c>
      <c r="AJ77" s="19">
        <f t="shared" si="61"/>
        <v>66098</v>
      </c>
      <c r="AK77" s="19" t="str">
        <f>IF(ISBLANK(W77),IF(ISBLANK(AD77),"",AD77),W77+AD77)</f>
        <v/>
      </c>
      <c r="AL77">
        <v>16954</v>
      </c>
      <c r="AM77">
        <v>18626</v>
      </c>
      <c r="AN77">
        <v>19984</v>
      </c>
      <c r="AO77">
        <v>58307929</v>
      </c>
      <c r="AP77">
        <v>54684733</v>
      </c>
      <c r="AQ77">
        <v>89168768</v>
      </c>
      <c r="AS77" s="22">
        <v>5300000000</v>
      </c>
      <c r="AT77" s="22">
        <v>5500000000</v>
      </c>
      <c r="AU77" s="22">
        <v>6000000000</v>
      </c>
      <c r="AV77" s="22">
        <v>6800000000</v>
      </c>
      <c r="AW77" s="22">
        <v>7000000000</v>
      </c>
      <c r="AX77" s="22">
        <v>7100000000</v>
      </c>
    </row>
    <row r="78" spans="1:50">
      <c r="E78"/>
    </row>
    <row r="79" spans="1:50">
      <c r="E79"/>
    </row>
    <row r="80" spans="1:50">
      <c r="E80"/>
    </row>
    <row r="81" spans="5:5">
      <c r="E81"/>
    </row>
    <row r="82" spans="5:5">
      <c r="E82"/>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tabSelected="1" zoomScale="150" zoomScaleNormal="150" workbookViewId="0">
      <pane xSplit="1" ySplit="1" topLeftCell="C2" activePane="bottomRight" state="frozen"/>
      <selection pane="topRight" activeCell="B1" sqref="B1"/>
      <selection pane="bottomLeft" activeCell="A54" sqref="A54"/>
      <selection pane="bottomRight" activeCell="H36" sqref="H36"/>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284</v>
      </c>
      <c r="F1" s="33" t="s">
        <v>285</v>
      </c>
      <c r="G1" s="33" t="s">
        <v>286</v>
      </c>
      <c r="H1" s="34" t="s">
        <v>287</v>
      </c>
      <c r="I1" s="33" t="s">
        <v>288</v>
      </c>
      <c r="J1" s="33" t="s">
        <v>289</v>
      </c>
      <c r="K1" s="33" t="s">
        <v>290</v>
      </c>
      <c r="L1" s="35" t="s">
        <v>291</v>
      </c>
      <c r="M1" s="35" t="s">
        <v>292</v>
      </c>
    </row>
    <row r="2" spans="1:13">
      <c r="A2" t="s">
        <v>51</v>
      </c>
      <c r="B2" s="36" t="s">
        <v>52</v>
      </c>
      <c r="C2" s="37" t="s">
        <v>53</v>
      </c>
      <c r="D2" t="s">
        <v>54</v>
      </c>
      <c r="E2" s="37">
        <v>2050</v>
      </c>
      <c r="F2" s="37" t="s">
        <v>293</v>
      </c>
      <c r="G2" s="37" t="s">
        <v>294</v>
      </c>
      <c r="H2" s="37">
        <v>2019</v>
      </c>
      <c r="I2">
        <v>2016</v>
      </c>
      <c r="J2" s="38">
        <v>0.67400000000000004</v>
      </c>
      <c r="K2" s="37" t="s">
        <v>295</v>
      </c>
      <c r="L2" s="37">
        <v>2040</v>
      </c>
      <c r="M2" s="39">
        <v>1</v>
      </c>
    </row>
    <row r="3" spans="1:13">
      <c r="A3" t="s">
        <v>51</v>
      </c>
      <c r="B3" s="1" t="s">
        <v>52</v>
      </c>
      <c r="C3" t="s">
        <v>53</v>
      </c>
      <c r="D3" t="s">
        <v>54</v>
      </c>
      <c r="E3" s="37">
        <v>2050</v>
      </c>
      <c r="F3" t="s">
        <v>296</v>
      </c>
      <c r="G3" t="s">
        <v>297</v>
      </c>
      <c r="H3" s="37">
        <v>2019</v>
      </c>
      <c r="I3">
        <v>2016</v>
      </c>
      <c r="J3" s="20">
        <v>70457</v>
      </c>
      <c r="K3" t="s">
        <v>64</v>
      </c>
      <c r="L3">
        <v>2050</v>
      </c>
      <c r="M3" s="40">
        <v>1</v>
      </c>
    </row>
    <row r="4" spans="1:13">
      <c r="A4" t="s">
        <v>51</v>
      </c>
      <c r="B4" s="1" t="s">
        <v>52</v>
      </c>
      <c r="C4" t="s">
        <v>53</v>
      </c>
      <c r="D4" t="s">
        <v>54</v>
      </c>
      <c r="E4" s="37">
        <v>2050</v>
      </c>
      <c r="F4" s="41" t="s">
        <v>293</v>
      </c>
      <c r="G4" t="s">
        <v>294</v>
      </c>
      <c r="H4" s="37">
        <v>2019</v>
      </c>
      <c r="I4">
        <v>2016</v>
      </c>
      <c r="J4">
        <v>0.67</v>
      </c>
      <c r="K4" t="s">
        <v>295</v>
      </c>
      <c r="L4">
        <v>2030</v>
      </c>
      <c r="M4" s="40">
        <v>0.7</v>
      </c>
    </row>
    <row r="5" spans="1:13">
      <c r="A5" t="s">
        <v>60</v>
      </c>
      <c r="B5" s="1" t="s">
        <v>61</v>
      </c>
      <c r="C5" t="s">
        <v>62</v>
      </c>
      <c r="D5" t="s">
        <v>54</v>
      </c>
      <c r="E5" s="18">
        <v>2050</v>
      </c>
      <c r="F5" s="37" t="s">
        <v>296</v>
      </c>
      <c r="G5" s="37" t="s">
        <v>294</v>
      </c>
      <c r="H5" s="18"/>
      <c r="I5" s="18">
        <v>2005</v>
      </c>
      <c r="J5" s="38">
        <v>10178945</v>
      </c>
      <c r="K5" s="37" t="s">
        <v>58</v>
      </c>
      <c r="L5" s="18">
        <v>2050</v>
      </c>
      <c r="M5" s="42">
        <v>1</v>
      </c>
    </row>
    <row r="6" spans="1:13">
      <c r="A6" t="s">
        <v>66</v>
      </c>
      <c r="B6" s="1" t="s">
        <v>298</v>
      </c>
      <c r="C6" t="s">
        <v>68</v>
      </c>
      <c r="D6" t="s">
        <v>54</v>
      </c>
      <c r="E6" s="28">
        <v>2050</v>
      </c>
      <c r="F6" s="37" t="s">
        <v>293</v>
      </c>
      <c r="G6" t="s">
        <v>294</v>
      </c>
      <c r="I6" s="31">
        <v>2005</v>
      </c>
      <c r="J6">
        <f>(16*0.4+9*0.5)/(16+9)</f>
        <v>0.436</v>
      </c>
      <c r="K6" t="s">
        <v>295</v>
      </c>
      <c r="L6">
        <v>2030</v>
      </c>
      <c r="M6" s="40">
        <v>0.5</v>
      </c>
    </row>
    <row r="7" spans="1:13">
      <c r="A7" t="s">
        <v>69</v>
      </c>
      <c r="B7" s="1" t="s">
        <v>70</v>
      </c>
      <c r="C7" t="s">
        <v>71</v>
      </c>
      <c r="D7" t="s">
        <v>54</v>
      </c>
      <c r="E7" s="28">
        <v>2050</v>
      </c>
      <c r="F7" s="37" t="s">
        <v>296</v>
      </c>
      <c r="G7" t="s">
        <v>294</v>
      </c>
      <c r="I7" s="31">
        <v>2005</v>
      </c>
      <c r="J7" s="20">
        <v>38113792</v>
      </c>
      <c r="K7" s="37" t="s">
        <v>58</v>
      </c>
      <c r="L7">
        <v>2030</v>
      </c>
      <c r="M7" s="40">
        <v>0.5</v>
      </c>
    </row>
    <row r="8" spans="1:13">
      <c r="A8" t="s">
        <v>69</v>
      </c>
      <c r="B8" s="1" t="s">
        <v>70</v>
      </c>
      <c r="C8" t="s">
        <v>71</v>
      </c>
      <c r="D8" t="s">
        <v>54</v>
      </c>
      <c r="E8" s="28">
        <v>2050</v>
      </c>
      <c r="F8" s="37" t="s">
        <v>296</v>
      </c>
      <c r="G8" t="s">
        <v>294</v>
      </c>
      <c r="I8" s="31">
        <v>2005</v>
      </c>
      <c r="J8" s="20">
        <v>38113792</v>
      </c>
      <c r="K8" s="37" t="s">
        <v>58</v>
      </c>
      <c r="L8">
        <v>2040</v>
      </c>
      <c r="M8" s="40">
        <v>0.85</v>
      </c>
    </row>
    <row r="9" spans="1:13">
      <c r="A9" t="s">
        <v>72</v>
      </c>
      <c r="B9" s="1" t="s">
        <v>73</v>
      </c>
      <c r="C9" t="s">
        <v>74</v>
      </c>
      <c r="D9" t="s">
        <v>54</v>
      </c>
      <c r="E9" s="28">
        <v>2050</v>
      </c>
      <c r="F9" s="28" t="s">
        <v>296</v>
      </c>
      <c r="G9" t="s">
        <v>299</v>
      </c>
      <c r="I9" s="31">
        <v>2000</v>
      </c>
      <c r="J9" s="28">
        <v>167000000</v>
      </c>
      <c r="K9" s="37" t="s">
        <v>58</v>
      </c>
      <c r="L9">
        <v>2030</v>
      </c>
      <c r="M9" s="40">
        <v>0.8</v>
      </c>
    </row>
    <row r="10" spans="1:13">
      <c r="A10" t="s">
        <v>410</v>
      </c>
      <c r="B10" s="1" t="s">
        <v>75</v>
      </c>
      <c r="C10" t="s">
        <v>408</v>
      </c>
      <c r="D10" t="s">
        <v>54</v>
      </c>
      <c r="E10" s="28">
        <v>2035</v>
      </c>
      <c r="F10" s="28" t="s">
        <v>296</v>
      </c>
      <c r="G10" t="s">
        <v>299</v>
      </c>
      <c r="I10" s="31">
        <v>2015</v>
      </c>
      <c r="J10" s="38">
        <v>1</v>
      </c>
      <c r="K10" s="37" t="s">
        <v>64</v>
      </c>
      <c r="L10">
        <v>2025</v>
      </c>
      <c r="M10" s="40">
        <v>0.35</v>
      </c>
    </row>
    <row r="11" spans="1:13">
      <c r="A11" t="s">
        <v>411</v>
      </c>
      <c r="B11" s="1" t="s">
        <v>75</v>
      </c>
      <c r="C11" t="s">
        <v>409</v>
      </c>
      <c r="D11" t="s">
        <v>54</v>
      </c>
      <c r="E11" s="28">
        <v>2035</v>
      </c>
      <c r="F11" s="28" t="s">
        <v>296</v>
      </c>
      <c r="G11" t="s">
        <v>299</v>
      </c>
      <c r="I11" s="31">
        <v>2015</v>
      </c>
      <c r="J11" s="38">
        <v>1</v>
      </c>
      <c r="K11" s="37" t="s">
        <v>64</v>
      </c>
      <c r="L11">
        <v>2025</v>
      </c>
      <c r="M11" s="40">
        <v>0.35</v>
      </c>
    </row>
    <row r="12" spans="1:13">
      <c r="A12" t="s">
        <v>77</v>
      </c>
      <c r="B12" s="1" t="s">
        <v>78</v>
      </c>
      <c r="C12" t="s">
        <v>79</v>
      </c>
      <c r="D12" t="s">
        <v>54</v>
      </c>
      <c r="F12" s="28" t="s">
        <v>293</v>
      </c>
      <c r="G12" t="s">
        <v>299</v>
      </c>
      <c r="I12" s="31">
        <v>2005</v>
      </c>
      <c r="J12">
        <v>1</v>
      </c>
      <c r="K12" s="37" t="s">
        <v>295</v>
      </c>
      <c r="L12">
        <v>2030</v>
      </c>
      <c r="M12" s="40">
        <v>0.4</v>
      </c>
    </row>
    <row r="13" spans="1:13">
      <c r="A13" t="s">
        <v>77</v>
      </c>
      <c r="B13" s="1" t="s">
        <v>78</v>
      </c>
      <c r="C13" t="s">
        <v>79</v>
      </c>
      <c r="D13" t="s">
        <v>54</v>
      </c>
      <c r="F13" s="28" t="s">
        <v>293</v>
      </c>
      <c r="G13" t="s">
        <v>299</v>
      </c>
      <c r="I13" s="31">
        <v>2005</v>
      </c>
      <c r="J13">
        <v>1</v>
      </c>
      <c r="K13" s="37" t="s">
        <v>295</v>
      </c>
      <c r="L13">
        <v>2040</v>
      </c>
      <c r="M13" s="40">
        <v>0.7</v>
      </c>
    </row>
    <row r="14" spans="1:13">
      <c r="A14" t="s">
        <v>81</v>
      </c>
      <c r="B14" s="1" t="s">
        <v>82</v>
      </c>
      <c r="C14" t="s">
        <v>83</v>
      </c>
      <c r="D14" t="s">
        <v>84</v>
      </c>
      <c r="E14" s="28">
        <v>2050</v>
      </c>
      <c r="F14" s="28" t="s">
        <v>293</v>
      </c>
      <c r="G14" t="s">
        <v>300</v>
      </c>
      <c r="H14">
        <v>2021</v>
      </c>
      <c r="I14" s="31">
        <v>2019</v>
      </c>
      <c r="J14">
        <v>127</v>
      </c>
      <c r="K14" t="s">
        <v>301</v>
      </c>
      <c r="L14">
        <v>2030</v>
      </c>
      <c r="M14" s="40">
        <v>0.5</v>
      </c>
    </row>
    <row r="15" spans="1:13">
      <c r="A15" t="s">
        <v>81</v>
      </c>
      <c r="B15" s="1" t="s">
        <v>82</v>
      </c>
      <c r="C15" t="s">
        <v>83</v>
      </c>
      <c r="D15" t="s">
        <v>84</v>
      </c>
      <c r="E15" s="28">
        <v>2050</v>
      </c>
      <c r="F15" s="28" t="s">
        <v>296</v>
      </c>
      <c r="G15" t="s">
        <v>294</v>
      </c>
      <c r="H15">
        <v>2021</v>
      </c>
      <c r="I15" s="31">
        <v>2019</v>
      </c>
      <c r="J15">
        <v>834562</v>
      </c>
      <c r="K15" s="37" t="s">
        <v>58</v>
      </c>
      <c r="L15">
        <v>2030</v>
      </c>
      <c r="M15" s="40">
        <v>0.8</v>
      </c>
    </row>
    <row r="16" spans="1:13">
      <c r="A16" t="s">
        <v>87</v>
      </c>
      <c r="B16" s="1" t="s">
        <v>88</v>
      </c>
      <c r="C16" t="s">
        <v>89</v>
      </c>
      <c r="D16" t="s">
        <v>90</v>
      </c>
      <c r="E16" s="28">
        <v>2050</v>
      </c>
      <c r="F16" s="28" t="s">
        <v>296</v>
      </c>
      <c r="G16" t="s">
        <v>294</v>
      </c>
      <c r="H16">
        <v>2021</v>
      </c>
      <c r="I16" s="31">
        <v>2019</v>
      </c>
      <c r="J16">
        <f>'ITR input data'!AH111+'ITR input data'!AO11</f>
        <v>946.27100840336141</v>
      </c>
      <c r="K16" s="37" t="s">
        <v>64</v>
      </c>
      <c r="L16">
        <v>2030</v>
      </c>
      <c r="M16" s="40">
        <v>0.5</v>
      </c>
    </row>
    <row r="17" spans="1:13">
      <c r="A17" t="s">
        <v>94</v>
      </c>
      <c r="B17" s="1" t="s">
        <v>95</v>
      </c>
      <c r="C17" t="s">
        <v>96</v>
      </c>
      <c r="D17" t="s">
        <v>54</v>
      </c>
      <c r="F17" s="28" t="s">
        <v>293</v>
      </c>
      <c r="G17" t="s">
        <v>294</v>
      </c>
      <c r="I17" s="31">
        <v>2020</v>
      </c>
      <c r="J17">
        <f>0.292832151/0.141</f>
        <v>2.0768237659574469</v>
      </c>
      <c r="K17" s="37" t="s">
        <v>302</v>
      </c>
      <c r="L17">
        <v>2050</v>
      </c>
      <c r="M17" s="40">
        <v>0.1</v>
      </c>
    </row>
    <row r="18" spans="1:13">
      <c r="A18" t="s">
        <v>98</v>
      </c>
      <c r="B18" s="1" t="s">
        <v>99</v>
      </c>
      <c r="C18" t="s">
        <v>100</v>
      </c>
      <c r="D18" t="s">
        <v>54</v>
      </c>
      <c r="F18" s="28" t="s">
        <v>293</v>
      </c>
      <c r="G18" t="s">
        <v>294</v>
      </c>
      <c r="H18">
        <v>2021</v>
      </c>
      <c r="I18" s="31">
        <v>2017</v>
      </c>
      <c r="J18">
        <v>73.8</v>
      </c>
      <c r="K18" s="37" t="s">
        <v>303</v>
      </c>
      <c r="L18">
        <v>2028</v>
      </c>
      <c r="M18" s="40">
        <f>73.8/71-1</f>
        <v>3.9436619718309807E-2</v>
      </c>
    </row>
    <row r="19" spans="1:13">
      <c r="A19" t="s">
        <v>101</v>
      </c>
      <c r="B19" s="1" t="s">
        <v>102</v>
      </c>
      <c r="C19" t="s">
        <v>103</v>
      </c>
      <c r="D19" t="s">
        <v>54</v>
      </c>
      <c r="F19" s="28" t="s">
        <v>293</v>
      </c>
      <c r="G19" t="s">
        <v>294</v>
      </c>
      <c r="H19">
        <v>2021</v>
      </c>
      <c r="I19" s="31">
        <v>2017</v>
      </c>
      <c r="J19">
        <f>36830868.09/90796200</f>
        <v>0.40564327681114409</v>
      </c>
      <c r="K19" s="37" t="s">
        <v>302</v>
      </c>
      <c r="L19">
        <v>2030</v>
      </c>
      <c r="M19" s="40">
        <v>0.25</v>
      </c>
    </row>
    <row r="20" spans="1:13">
      <c r="A20" t="s">
        <v>104</v>
      </c>
      <c r="B20" s="1" t="s">
        <v>105</v>
      </c>
      <c r="C20" t="s">
        <v>106</v>
      </c>
      <c r="D20" t="s">
        <v>54</v>
      </c>
      <c r="F20" t="s">
        <v>296</v>
      </c>
      <c r="G20" t="s">
        <v>294</v>
      </c>
      <c r="H20">
        <v>2020</v>
      </c>
      <c r="I20" s="31">
        <v>2005</v>
      </c>
      <c r="J20">
        <v>25218000</v>
      </c>
      <c r="K20" t="s">
        <v>58</v>
      </c>
      <c r="L20">
        <v>2040</v>
      </c>
      <c r="M20" s="40">
        <v>1</v>
      </c>
    </row>
    <row r="21" spans="1:13">
      <c r="A21" t="s">
        <v>107</v>
      </c>
      <c r="B21" s="1" t="s">
        <v>108</v>
      </c>
      <c r="C21" t="s">
        <v>109</v>
      </c>
      <c r="D21" t="s">
        <v>54</v>
      </c>
      <c r="F21" s="28" t="s">
        <v>293</v>
      </c>
      <c r="G21" t="s">
        <v>294</v>
      </c>
      <c r="H21">
        <v>2021</v>
      </c>
      <c r="I21" s="31">
        <v>2019</v>
      </c>
      <c r="J21">
        <v>0.48099999999999998</v>
      </c>
      <c r="K21" s="37" t="s">
        <v>302</v>
      </c>
      <c r="L21">
        <v>2030</v>
      </c>
      <c r="M21" s="40">
        <v>0.2</v>
      </c>
    </row>
    <row r="22" spans="1:13">
      <c r="A22" t="s">
        <v>110</v>
      </c>
      <c r="B22" s="1" t="s">
        <v>111</v>
      </c>
      <c r="C22" t="s">
        <v>112</v>
      </c>
      <c r="D22" t="s">
        <v>54</v>
      </c>
      <c r="E22" s="28">
        <v>2050</v>
      </c>
      <c r="F22" s="28" t="s">
        <v>296</v>
      </c>
      <c r="G22" t="s">
        <v>294</v>
      </c>
      <c r="I22" s="31">
        <v>2011</v>
      </c>
      <c r="J22">
        <v>24000000</v>
      </c>
      <c r="K22" s="37" t="s">
        <v>58</v>
      </c>
      <c r="L22">
        <v>2030</v>
      </c>
      <c r="M22" s="40">
        <v>0.6</v>
      </c>
    </row>
    <row r="23" spans="1:13">
      <c r="A23" t="s">
        <v>113</v>
      </c>
      <c r="B23" s="1" t="s">
        <v>114</v>
      </c>
      <c r="C23" t="s">
        <v>115</v>
      </c>
      <c r="D23" t="s">
        <v>54</v>
      </c>
      <c r="E23" s="28">
        <v>2040</v>
      </c>
      <c r="F23" s="28" t="s">
        <v>296</v>
      </c>
      <c r="G23" t="s">
        <v>299</v>
      </c>
      <c r="H23">
        <v>2021</v>
      </c>
      <c r="I23" s="31">
        <v>2020</v>
      </c>
      <c r="J23">
        <v>1.32787923872953</v>
      </c>
      <c r="K23" t="s">
        <v>64</v>
      </c>
      <c r="L23">
        <v>2040</v>
      </c>
      <c r="M23" s="40">
        <v>1</v>
      </c>
    </row>
    <row r="24" spans="1:13">
      <c r="A24" t="s">
        <v>116</v>
      </c>
      <c r="B24" s="1" t="s">
        <v>117</v>
      </c>
      <c r="C24" t="s">
        <v>118</v>
      </c>
      <c r="D24" t="s">
        <v>54</v>
      </c>
      <c r="E24" s="28">
        <v>2050</v>
      </c>
      <c r="F24" s="28" t="s">
        <v>296</v>
      </c>
      <c r="G24" t="s">
        <v>299</v>
      </c>
      <c r="H24">
        <v>2017</v>
      </c>
      <c r="I24" s="31">
        <v>2005</v>
      </c>
      <c r="J24">
        <v>37700000</v>
      </c>
      <c r="K24" s="37" t="s">
        <v>58</v>
      </c>
      <c r="L24">
        <v>2030</v>
      </c>
      <c r="M24" s="40">
        <v>0.5</v>
      </c>
    </row>
    <row r="25" spans="1:13">
      <c r="A25" t="s">
        <v>116</v>
      </c>
      <c r="B25" s="1" t="s">
        <v>117</v>
      </c>
      <c r="C25" t="s">
        <v>118</v>
      </c>
      <c r="D25" t="s">
        <v>54</v>
      </c>
      <c r="E25" s="28">
        <v>2050</v>
      </c>
      <c r="F25" s="28" t="s">
        <v>296</v>
      </c>
      <c r="G25" t="s">
        <v>299</v>
      </c>
      <c r="H25">
        <v>2017</v>
      </c>
      <c r="I25" s="31">
        <v>2005</v>
      </c>
      <c r="J25">
        <v>37700000</v>
      </c>
      <c r="K25" s="37" t="s">
        <v>58</v>
      </c>
      <c r="L25">
        <v>2040</v>
      </c>
      <c r="M25" s="40">
        <v>0.8</v>
      </c>
    </row>
    <row r="26" spans="1:13">
      <c r="A26" t="s">
        <v>119</v>
      </c>
      <c r="B26" s="1" t="s">
        <v>120</v>
      </c>
      <c r="C26" t="s">
        <v>121</v>
      </c>
      <c r="D26" t="s">
        <v>54</v>
      </c>
      <c r="E26" s="28">
        <v>2050</v>
      </c>
      <c r="F26" s="28" t="s">
        <v>296</v>
      </c>
      <c r="G26" t="s">
        <v>299</v>
      </c>
      <c r="I26" s="31">
        <v>2005</v>
      </c>
      <c r="J26">
        <v>59.347999999999999</v>
      </c>
      <c r="K26" s="37" t="s">
        <v>64</v>
      </c>
      <c r="L26">
        <v>2030</v>
      </c>
      <c r="M26" s="40">
        <v>0.55000000000000004</v>
      </c>
    </row>
    <row r="27" spans="1:13">
      <c r="A27" t="s">
        <v>122</v>
      </c>
      <c r="B27" s="1" t="s">
        <v>123</v>
      </c>
      <c r="C27" t="s">
        <v>124</v>
      </c>
      <c r="D27" t="s">
        <v>54</v>
      </c>
      <c r="E27" s="28">
        <v>2050</v>
      </c>
      <c r="F27" s="28" t="s">
        <v>296</v>
      </c>
      <c r="G27" t="s">
        <v>299</v>
      </c>
      <c r="I27" s="31">
        <v>2005</v>
      </c>
      <c r="J27">
        <v>153000000</v>
      </c>
      <c r="K27" s="37" t="s">
        <v>58</v>
      </c>
      <c r="L27">
        <v>2030</v>
      </c>
      <c r="M27" s="40">
        <v>0.5</v>
      </c>
    </row>
    <row r="28" spans="1:13">
      <c r="A28" t="s">
        <v>125</v>
      </c>
      <c r="B28" s="1" t="s">
        <v>126</v>
      </c>
      <c r="C28" t="s">
        <v>127</v>
      </c>
      <c r="D28" t="s">
        <v>128</v>
      </c>
      <c r="E28" s="28">
        <v>2050</v>
      </c>
      <c r="F28" s="28" t="s">
        <v>296</v>
      </c>
      <c r="G28" t="s">
        <v>294</v>
      </c>
      <c r="H28">
        <v>2020</v>
      </c>
      <c r="I28" s="31">
        <v>2017</v>
      </c>
      <c r="J28">
        <v>51</v>
      </c>
      <c r="K28" s="37" t="s">
        <v>64</v>
      </c>
      <c r="L28">
        <v>2023</v>
      </c>
      <c r="M28" s="40">
        <v>0.4</v>
      </c>
    </row>
    <row r="29" spans="1:13">
      <c r="A29" t="s">
        <v>125</v>
      </c>
      <c r="B29" s="1" t="s">
        <v>126</v>
      </c>
      <c r="C29" t="s">
        <v>127</v>
      </c>
      <c r="D29" t="s">
        <v>128</v>
      </c>
      <c r="E29" s="28">
        <v>2050</v>
      </c>
      <c r="F29" s="28" t="s">
        <v>296</v>
      </c>
      <c r="G29" t="s">
        <v>300</v>
      </c>
      <c r="H29">
        <v>2020</v>
      </c>
      <c r="I29" s="31">
        <v>2019</v>
      </c>
      <c r="J29">
        <v>119</v>
      </c>
      <c r="K29" s="37" t="s">
        <v>64</v>
      </c>
      <c r="L29">
        <v>2023</v>
      </c>
      <c r="M29" s="40">
        <v>0.08</v>
      </c>
    </row>
    <row r="30" spans="1:13">
      <c r="A30" t="s">
        <v>125</v>
      </c>
      <c r="B30" s="1" t="s">
        <v>126</v>
      </c>
      <c r="C30" t="s">
        <v>127</v>
      </c>
      <c r="D30" t="s">
        <v>128</v>
      </c>
      <c r="E30" s="28">
        <v>2050</v>
      </c>
      <c r="F30" s="28" t="s">
        <v>296</v>
      </c>
      <c r="G30" t="s">
        <v>294</v>
      </c>
      <c r="H30">
        <v>2020</v>
      </c>
      <c r="I30" s="31">
        <v>2017</v>
      </c>
      <c r="J30">
        <v>51</v>
      </c>
      <c r="K30" s="37" t="s">
        <v>64</v>
      </c>
      <c r="L30">
        <v>2030</v>
      </c>
      <c r="M30" s="40">
        <v>0.5</v>
      </c>
    </row>
    <row r="31" spans="1:13">
      <c r="A31" t="s">
        <v>125</v>
      </c>
      <c r="B31" s="1" t="s">
        <v>126</v>
      </c>
      <c r="C31" t="s">
        <v>127</v>
      </c>
      <c r="D31" t="s">
        <v>128</v>
      </c>
      <c r="E31" s="28">
        <v>2050</v>
      </c>
      <c r="F31" s="28" t="s">
        <v>296</v>
      </c>
      <c r="G31" t="s">
        <v>300</v>
      </c>
      <c r="H31">
        <v>2020</v>
      </c>
      <c r="I31" s="31">
        <v>2019</v>
      </c>
      <c r="J31">
        <v>119</v>
      </c>
      <c r="K31" s="37" t="s">
        <v>64</v>
      </c>
      <c r="L31">
        <v>2030</v>
      </c>
      <c r="M31" s="40">
        <v>0.28000000000000003</v>
      </c>
    </row>
    <row r="32" spans="1:13">
      <c r="A32" t="s">
        <v>129</v>
      </c>
      <c r="B32" s="1" t="s">
        <v>130</v>
      </c>
      <c r="C32" t="s">
        <v>131</v>
      </c>
      <c r="D32" t="s">
        <v>54</v>
      </c>
      <c r="E32" s="28">
        <v>2045</v>
      </c>
      <c r="F32" s="28" t="s">
        <v>293</v>
      </c>
      <c r="G32" t="s">
        <v>294</v>
      </c>
      <c r="H32">
        <v>2021</v>
      </c>
      <c r="I32" s="31">
        <v>2018</v>
      </c>
      <c r="J32">
        <v>0.23</v>
      </c>
      <c r="K32" t="s">
        <v>295</v>
      </c>
      <c r="L32">
        <v>2030</v>
      </c>
      <c r="M32" s="40">
        <v>0.5</v>
      </c>
    </row>
    <row r="33" spans="1:13">
      <c r="A33" t="s">
        <v>132</v>
      </c>
      <c r="B33" s="1" t="s">
        <v>133</v>
      </c>
      <c r="C33" t="s">
        <v>134</v>
      </c>
      <c r="D33" t="s">
        <v>135</v>
      </c>
      <c r="E33" s="28">
        <v>2030</v>
      </c>
      <c r="F33" s="28" t="s">
        <v>293</v>
      </c>
      <c r="G33" t="s">
        <v>299</v>
      </c>
      <c r="H33">
        <v>2020</v>
      </c>
      <c r="I33" s="31">
        <v>2017</v>
      </c>
      <c r="J33">
        <v>125</v>
      </c>
      <c r="K33" s="37" t="s">
        <v>304</v>
      </c>
      <c r="L33">
        <v>2030</v>
      </c>
      <c r="M33" s="40">
        <v>0.8</v>
      </c>
    </row>
    <row r="34" spans="1:13">
      <c r="A34" t="s">
        <v>138</v>
      </c>
      <c r="B34" s="1" t="s">
        <v>139</v>
      </c>
      <c r="C34" t="s">
        <v>140</v>
      </c>
      <c r="D34" t="s">
        <v>54</v>
      </c>
      <c r="E34" s="28">
        <v>2050</v>
      </c>
      <c r="F34" s="28" t="s">
        <v>296</v>
      </c>
      <c r="G34" t="s">
        <v>294</v>
      </c>
      <c r="H34">
        <v>2020</v>
      </c>
      <c r="I34" s="31">
        <v>2000</v>
      </c>
      <c r="J34">
        <v>49960899</v>
      </c>
      <c r="K34" s="37" t="s">
        <v>58</v>
      </c>
      <c r="L34">
        <v>2050</v>
      </c>
      <c r="M34" s="40">
        <v>1</v>
      </c>
    </row>
    <row r="35" spans="1:13">
      <c r="A35" t="s">
        <v>138</v>
      </c>
      <c r="B35" s="1" t="s">
        <v>139</v>
      </c>
      <c r="C35" t="s">
        <v>140</v>
      </c>
      <c r="D35" t="s">
        <v>54</v>
      </c>
      <c r="E35" s="28">
        <v>2050</v>
      </c>
      <c r="F35" s="28" t="s">
        <v>293</v>
      </c>
      <c r="G35" t="s">
        <v>299</v>
      </c>
      <c r="H35">
        <v>2020</v>
      </c>
      <c r="I35" s="31">
        <v>2000</v>
      </c>
      <c r="J35">
        <v>0.4826223</v>
      </c>
      <c r="K35" s="37" t="s">
        <v>295</v>
      </c>
      <c r="L35">
        <v>2030</v>
      </c>
      <c r="M35" s="40">
        <v>0.5</v>
      </c>
    </row>
    <row r="36" spans="1:13">
      <c r="A36" t="s">
        <v>141</v>
      </c>
      <c r="B36" s="1" t="s">
        <v>142</v>
      </c>
      <c r="C36" t="s">
        <v>143</v>
      </c>
      <c r="D36" t="s">
        <v>54</v>
      </c>
      <c r="E36" s="28">
        <v>2045</v>
      </c>
      <c r="F36" s="28" t="s">
        <v>296</v>
      </c>
      <c r="G36" t="s">
        <v>299</v>
      </c>
      <c r="I36" s="31">
        <v>2005</v>
      </c>
      <c r="J36" s="20">
        <v>48455198</v>
      </c>
      <c r="K36" s="37" t="s">
        <v>58</v>
      </c>
      <c r="L36">
        <v>2030</v>
      </c>
      <c r="M36" s="40">
        <v>0.7</v>
      </c>
    </row>
    <row r="37" spans="1:13">
      <c r="A37" t="s">
        <v>144</v>
      </c>
      <c r="B37" s="1" t="s">
        <v>145</v>
      </c>
      <c r="C37" t="s">
        <v>146</v>
      </c>
      <c r="D37" t="s">
        <v>54</v>
      </c>
      <c r="E37" s="28">
        <v>2030</v>
      </c>
      <c r="F37" s="28" t="s">
        <v>296</v>
      </c>
      <c r="G37" t="s">
        <v>294</v>
      </c>
      <c r="H37">
        <v>2019</v>
      </c>
      <c r="I37" s="31">
        <v>2018</v>
      </c>
      <c r="J37">
        <v>828107</v>
      </c>
      <c r="K37" s="37" t="s">
        <v>58</v>
      </c>
      <c r="L37">
        <v>2030</v>
      </c>
      <c r="M37" s="40">
        <v>1</v>
      </c>
    </row>
    <row r="38" spans="1:13">
      <c r="A38" t="s">
        <v>147</v>
      </c>
      <c r="B38" s="1" t="s">
        <v>148</v>
      </c>
      <c r="C38" t="s">
        <v>149</v>
      </c>
      <c r="D38" t="s">
        <v>54</v>
      </c>
      <c r="E38" s="28">
        <v>2050</v>
      </c>
      <c r="F38" s="28" t="s">
        <v>296</v>
      </c>
      <c r="G38" t="s">
        <v>294</v>
      </c>
      <c r="H38">
        <v>2021</v>
      </c>
      <c r="I38" s="31">
        <v>2015</v>
      </c>
      <c r="J38">
        <v>1100</v>
      </c>
      <c r="K38" s="37" t="s">
        <v>137</v>
      </c>
      <c r="L38">
        <v>2030</v>
      </c>
      <c r="M38" s="40">
        <v>0.5</v>
      </c>
    </row>
    <row r="39" spans="1:13">
      <c r="A39" t="s">
        <v>150</v>
      </c>
      <c r="B39" s="1" t="s">
        <v>151</v>
      </c>
      <c r="C39" t="s">
        <v>152</v>
      </c>
      <c r="D39" t="s">
        <v>54</v>
      </c>
      <c r="E39" s="28">
        <v>2050</v>
      </c>
      <c r="F39" s="28" t="s">
        <v>296</v>
      </c>
      <c r="G39" t="s">
        <v>294</v>
      </c>
      <c r="H39">
        <v>2021</v>
      </c>
      <c r="I39" s="31">
        <v>2016</v>
      </c>
      <c r="J39">
        <v>125</v>
      </c>
      <c r="K39" s="37" t="s">
        <v>64</v>
      </c>
      <c r="L39">
        <v>2025</v>
      </c>
      <c r="M39" s="40">
        <v>0.2</v>
      </c>
    </row>
    <row r="40" spans="1:13">
      <c r="A40" t="s">
        <v>153</v>
      </c>
      <c r="B40" s="1" t="s">
        <v>154</v>
      </c>
      <c r="C40" t="s">
        <v>155</v>
      </c>
      <c r="D40" t="s">
        <v>54</v>
      </c>
      <c r="F40" s="28" t="s">
        <v>296</v>
      </c>
      <c r="G40" t="s">
        <v>299</v>
      </c>
      <c r="H40">
        <v>2015</v>
      </c>
      <c r="I40" s="31">
        <v>2005</v>
      </c>
      <c r="J40">
        <v>86403130</v>
      </c>
      <c r="K40" s="37" t="s">
        <v>58</v>
      </c>
      <c r="L40">
        <v>2045</v>
      </c>
      <c r="M40" s="40">
        <v>0.62</v>
      </c>
    </row>
    <row r="41" spans="1:13">
      <c r="A41" t="s">
        <v>156</v>
      </c>
      <c r="B41" s="1" t="s">
        <v>157</v>
      </c>
      <c r="C41" t="s">
        <v>158</v>
      </c>
      <c r="D41" t="s">
        <v>54</v>
      </c>
      <c r="F41" s="28" t="s">
        <v>293</v>
      </c>
      <c r="G41" t="s">
        <v>300</v>
      </c>
      <c r="H41">
        <v>2021</v>
      </c>
      <c r="I41" s="31">
        <v>2019</v>
      </c>
      <c r="J41">
        <v>309</v>
      </c>
      <c r="K41" s="37" t="s">
        <v>305</v>
      </c>
      <c r="L41">
        <v>2035</v>
      </c>
      <c r="M41" s="40">
        <v>0.5</v>
      </c>
    </row>
    <row r="42" spans="1:13">
      <c r="A42" t="s">
        <v>156</v>
      </c>
      <c r="B42" s="1" t="s">
        <v>157</v>
      </c>
      <c r="C42" t="s">
        <v>158</v>
      </c>
      <c r="D42" t="s">
        <v>54</v>
      </c>
      <c r="F42" s="28" t="s">
        <v>296</v>
      </c>
      <c r="G42" t="s">
        <v>294</v>
      </c>
      <c r="H42">
        <v>2021</v>
      </c>
      <c r="I42" s="31">
        <v>2019</v>
      </c>
      <c r="J42">
        <v>3480</v>
      </c>
      <c r="K42" s="37" t="s">
        <v>58</v>
      </c>
      <c r="L42">
        <v>2035</v>
      </c>
      <c r="M42" s="40">
        <v>0.76</v>
      </c>
    </row>
    <row r="43" spans="1:13">
      <c r="A43" t="s">
        <v>159</v>
      </c>
      <c r="B43" s="1" t="s">
        <v>160</v>
      </c>
      <c r="C43" t="s">
        <v>161</v>
      </c>
      <c r="D43" t="s">
        <v>162</v>
      </c>
      <c r="F43" s="28" t="s">
        <v>296</v>
      </c>
      <c r="G43" t="s">
        <v>299</v>
      </c>
      <c r="H43">
        <v>2020</v>
      </c>
      <c r="I43" s="31">
        <v>2019</v>
      </c>
      <c r="J43" s="20">
        <v>11925000</v>
      </c>
      <c r="K43" s="37" t="s">
        <v>58</v>
      </c>
      <c r="L43">
        <v>2035</v>
      </c>
      <c r="M43" s="40">
        <v>0.75</v>
      </c>
    </row>
    <row r="44" spans="1:13">
      <c r="A44" s="76" t="s">
        <v>163</v>
      </c>
      <c r="B44" s="77" t="s">
        <v>164</v>
      </c>
      <c r="C44" s="76" t="s">
        <v>165</v>
      </c>
      <c r="D44" s="76" t="s">
        <v>54</v>
      </c>
      <c r="E44" s="78">
        <v>2040</v>
      </c>
      <c r="F44" s="78" t="s">
        <v>293</v>
      </c>
      <c r="G44" s="76" t="s">
        <v>300</v>
      </c>
      <c r="H44" s="76">
        <v>2021</v>
      </c>
      <c r="I44" s="79">
        <v>2020</v>
      </c>
      <c r="J44" s="80">
        <v>309</v>
      </c>
      <c r="K44" s="81" t="s">
        <v>305</v>
      </c>
      <c r="L44" s="76">
        <v>2040</v>
      </c>
      <c r="M44" s="82">
        <v>0.2</v>
      </c>
    </row>
    <row r="45" spans="1:13">
      <c r="A45" t="s">
        <v>163</v>
      </c>
      <c r="B45" s="1" t="s">
        <v>164</v>
      </c>
      <c r="C45" t="s">
        <v>165</v>
      </c>
      <c r="D45" t="s">
        <v>54</v>
      </c>
      <c r="E45" s="28">
        <v>2040</v>
      </c>
      <c r="F45" s="28" t="s">
        <v>296</v>
      </c>
      <c r="G45" t="s">
        <v>294</v>
      </c>
      <c r="H45">
        <v>2021</v>
      </c>
      <c r="I45" s="31">
        <v>2020</v>
      </c>
      <c r="J45" s="20">
        <v>3813946</v>
      </c>
      <c r="K45" s="37" t="s">
        <v>58</v>
      </c>
      <c r="L45">
        <v>2040</v>
      </c>
      <c r="M45" s="40">
        <v>1</v>
      </c>
    </row>
    <row r="46" spans="1:13">
      <c r="A46" t="s">
        <v>166</v>
      </c>
      <c r="B46" s="1" t="s">
        <v>167</v>
      </c>
      <c r="C46" t="s">
        <v>168</v>
      </c>
      <c r="D46" t="s">
        <v>169</v>
      </c>
      <c r="E46" s="28">
        <v>2050</v>
      </c>
      <c r="F46" s="28" t="s">
        <v>293</v>
      </c>
      <c r="G46" t="s">
        <v>294</v>
      </c>
      <c r="H46">
        <v>2022</v>
      </c>
      <c r="I46" s="31">
        <v>2020</v>
      </c>
      <c r="J46">
        <v>0.93</v>
      </c>
      <c r="K46" s="37" t="s">
        <v>302</v>
      </c>
      <c r="L46">
        <v>2031</v>
      </c>
      <c r="M46" s="40">
        <v>0.108</v>
      </c>
    </row>
    <row r="47" spans="1:13">
      <c r="A47" t="s">
        <v>170</v>
      </c>
      <c r="B47" s="1" t="s">
        <v>171</v>
      </c>
      <c r="C47" t="s">
        <v>172</v>
      </c>
      <c r="D47" t="s">
        <v>54</v>
      </c>
      <c r="F47" s="28" t="s">
        <v>293</v>
      </c>
      <c r="G47" t="s">
        <v>299</v>
      </c>
      <c r="H47">
        <v>2020</v>
      </c>
      <c r="I47" s="31">
        <v>2010</v>
      </c>
      <c r="J47">
        <v>0.76300000000000001</v>
      </c>
      <c r="K47" s="37" t="s">
        <v>295</v>
      </c>
      <c r="L47">
        <v>2030</v>
      </c>
      <c r="M47" s="40">
        <v>0.1</v>
      </c>
    </row>
    <row r="48" spans="1:13">
      <c r="A48" t="s">
        <v>173</v>
      </c>
      <c r="B48" s="1" t="s">
        <v>174</v>
      </c>
      <c r="C48" t="s">
        <v>175</v>
      </c>
      <c r="D48" t="s">
        <v>176</v>
      </c>
      <c r="E48" s="28">
        <v>2050</v>
      </c>
      <c r="F48" s="28" t="s">
        <v>293</v>
      </c>
      <c r="G48" t="s">
        <v>299</v>
      </c>
      <c r="H48">
        <v>2022</v>
      </c>
      <c r="I48" s="31">
        <v>2021</v>
      </c>
      <c r="J48">
        <v>96</v>
      </c>
      <c r="K48" s="37" t="s">
        <v>304</v>
      </c>
      <c r="L48">
        <v>2030</v>
      </c>
      <c r="M48" s="40">
        <f>50/96</f>
        <v>0.52083333333333337</v>
      </c>
    </row>
    <row r="49" spans="1:13">
      <c r="A49" t="s">
        <v>383</v>
      </c>
      <c r="B49" s="1" t="s">
        <v>384</v>
      </c>
      <c r="C49" t="s">
        <v>385</v>
      </c>
      <c r="D49" t="s">
        <v>54</v>
      </c>
      <c r="F49" s="28" t="s">
        <v>293</v>
      </c>
      <c r="G49" t="s">
        <v>294</v>
      </c>
      <c r="H49">
        <v>2020</v>
      </c>
      <c r="I49" s="31">
        <v>2014</v>
      </c>
      <c r="J49">
        <v>30</v>
      </c>
      <c r="K49" s="37" t="s">
        <v>386</v>
      </c>
      <c r="L49">
        <v>2030</v>
      </c>
      <c r="M49" s="40">
        <v>0.3</v>
      </c>
    </row>
    <row r="50" spans="1:13">
      <c r="A50" t="s">
        <v>383</v>
      </c>
      <c r="B50" s="1" t="s">
        <v>384</v>
      </c>
      <c r="C50" t="s">
        <v>385</v>
      </c>
      <c r="D50" t="s">
        <v>54</v>
      </c>
      <c r="F50" s="28" t="s">
        <v>296</v>
      </c>
      <c r="G50" t="s">
        <v>300</v>
      </c>
      <c r="H50">
        <v>2020</v>
      </c>
      <c r="I50" s="31">
        <v>2019</v>
      </c>
      <c r="J50">
        <v>425</v>
      </c>
      <c r="K50" s="37" t="s">
        <v>64</v>
      </c>
      <c r="L50">
        <v>2030</v>
      </c>
      <c r="M50" s="40">
        <v>0.15</v>
      </c>
    </row>
    <row r="51" spans="1:13">
      <c r="A51" t="s">
        <v>178</v>
      </c>
      <c r="B51" s="1" t="s">
        <v>179</v>
      </c>
      <c r="C51" t="s">
        <v>180</v>
      </c>
      <c r="D51" t="s">
        <v>54</v>
      </c>
      <c r="F51" s="28" t="s">
        <v>293</v>
      </c>
      <c r="G51" t="s">
        <v>294</v>
      </c>
      <c r="I51" s="31">
        <v>2000</v>
      </c>
      <c r="J51">
        <f>2650/2000</f>
        <v>1.325</v>
      </c>
      <c r="K51" s="37" t="s">
        <v>295</v>
      </c>
      <c r="L51">
        <v>2030</v>
      </c>
      <c r="M51" s="40">
        <v>0.5</v>
      </c>
    </row>
    <row r="52" spans="1:13">
      <c r="A52" t="s">
        <v>184</v>
      </c>
      <c r="B52" s="1" t="s">
        <v>185</v>
      </c>
      <c r="C52" t="s">
        <v>186</v>
      </c>
      <c r="D52" t="s">
        <v>90</v>
      </c>
      <c r="E52" s="28">
        <v>2050</v>
      </c>
      <c r="F52" t="s">
        <v>296</v>
      </c>
      <c r="G52" t="s">
        <v>294</v>
      </c>
      <c r="H52">
        <v>2020</v>
      </c>
      <c r="I52">
        <v>1990</v>
      </c>
      <c r="J52">
        <f>7000000/(1-0.68)</f>
        <v>21875000.000000004</v>
      </c>
      <c r="K52" t="s">
        <v>58</v>
      </c>
      <c r="L52">
        <v>2030</v>
      </c>
      <c r="M52" s="40">
        <v>0.8</v>
      </c>
    </row>
    <row r="53" spans="1:13">
      <c r="A53" t="s">
        <v>184</v>
      </c>
      <c r="B53" s="1" t="s">
        <v>185</v>
      </c>
      <c r="C53" t="s">
        <v>186</v>
      </c>
      <c r="D53" t="s">
        <v>90</v>
      </c>
      <c r="E53" s="28">
        <v>2050</v>
      </c>
      <c r="F53" t="s">
        <v>296</v>
      </c>
      <c r="G53" t="s">
        <v>294</v>
      </c>
      <c r="H53">
        <v>2020</v>
      </c>
      <c r="I53">
        <v>1990</v>
      </c>
      <c r="J53">
        <f>7000000/(1-0.68)</f>
        <v>21875000.000000004</v>
      </c>
      <c r="K53" t="s">
        <v>58</v>
      </c>
      <c r="L53">
        <v>2040</v>
      </c>
      <c r="M53" s="40">
        <v>0.9</v>
      </c>
    </row>
    <row r="54" spans="1:13">
      <c r="A54" t="s">
        <v>187</v>
      </c>
      <c r="B54" t="s">
        <v>188</v>
      </c>
      <c r="C54" t="s">
        <v>189</v>
      </c>
      <c r="D54" t="s">
        <v>54</v>
      </c>
      <c r="E54" s="28">
        <v>2050</v>
      </c>
      <c r="F54" s="28" t="s">
        <v>293</v>
      </c>
      <c r="G54" t="s">
        <v>294</v>
      </c>
      <c r="H54">
        <v>2020</v>
      </c>
      <c r="I54">
        <v>2005</v>
      </c>
      <c r="J54">
        <v>843</v>
      </c>
      <c r="K54" s="37" t="s">
        <v>306</v>
      </c>
      <c r="L54">
        <v>2025</v>
      </c>
      <c r="M54" s="40">
        <v>0.67</v>
      </c>
    </row>
    <row r="55" spans="1:13">
      <c r="A55" t="s">
        <v>195</v>
      </c>
      <c r="B55" t="s">
        <v>196</v>
      </c>
      <c r="C55" t="s">
        <v>197</v>
      </c>
      <c r="D55" t="s">
        <v>54</v>
      </c>
      <c r="E55" s="28">
        <v>2050</v>
      </c>
      <c r="F55" t="s">
        <v>296</v>
      </c>
      <c r="G55" t="s">
        <v>294</v>
      </c>
      <c r="H55">
        <v>2020</v>
      </c>
      <c r="I55">
        <v>2005</v>
      </c>
      <c r="J55">
        <f>6332981/(1-0.63)</f>
        <v>17116164.864864863</v>
      </c>
      <c r="K55" t="s">
        <v>58</v>
      </c>
      <c r="L55">
        <v>2030</v>
      </c>
      <c r="M55" s="40">
        <v>0.9</v>
      </c>
    </row>
    <row r="56" spans="1:13">
      <c r="A56" t="s">
        <v>198</v>
      </c>
      <c r="B56" s="1" t="s">
        <v>199</v>
      </c>
      <c r="C56" t="s">
        <v>200</v>
      </c>
      <c r="D56" t="s">
        <v>54</v>
      </c>
      <c r="E56" s="28">
        <v>2050</v>
      </c>
      <c r="F56" s="28" t="s">
        <v>296</v>
      </c>
      <c r="G56" t="s">
        <v>299</v>
      </c>
      <c r="H56">
        <v>2019</v>
      </c>
      <c r="I56" s="31">
        <v>2010</v>
      </c>
      <c r="J56" s="20">
        <v>3734024</v>
      </c>
      <c r="K56" t="s">
        <v>58</v>
      </c>
      <c r="L56">
        <v>2045</v>
      </c>
      <c r="M56" s="40">
        <v>0.9</v>
      </c>
    </row>
    <row r="57" spans="1:13">
      <c r="A57" t="s">
        <v>190</v>
      </c>
      <c r="B57" t="s">
        <v>191</v>
      </c>
      <c r="C57" t="s">
        <v>192</v>
      </c>
      <c r="D57" t="s">
        <v>193</v>
      </c>
      <c r="E57" s="28">
        <v>2050</v>
      </c>
      <c r="F57" t="s">
        <v>296</v>
      </c>
      <c r="G57" t="s">
        <v>294</v>
      </c>
      <c r="H57">
        <v>2021</v>
      </c>
      <c r="I57">
        <v>2013</v>
      </c>
      <c r="J57">
        <v>102</v>
      </c>
      <c r="K57" t="s">
        <v>64</v>
      </c>
      <c r="L57">
        <v>2030</v>
      </c>
      <c r="M57" s="40">
        <v>0.3</v>
      </c>
    </row>
    <row r="58" spans="1:13">
      <c r="A58" t="s">
        <v>181</v>
      </c>
      <c r="B58" s="1" t="s">
        <v>182</v>
      </c>
      <c r="C58" t="s">
        <v>183</v>
      </c>
      <c r="D58" t="s">
        <v>54</v>
      </c>
      <c r="F58" t="s">
        <v>293</v>
      </c>
      <c r="G58" t="s">
        <v>294</v>
      </c>
      <c r="H58">
        <v>2020</v>
      </c>
      <c r="I58">
        <v>2015</v>
      </c>
      <c r="J58">
        <v>0.82</v>
      </c>
      <c r="K58" t="s">
        <v>302</v>
      </c>
      <c r="L58">
        <v>2030</v>
      </c>
      <c r="M58" s="40">
        <v>0.35</v>
      </c>
    </row>
    <row r="59" spans="1:13">
      <c r="A59" t="s">
        <v>201</v>
      </c>
      <c r="B59" s="1" t="s">
        <v>202</v>
      </c>
      <c r="C59" t="s">
        <v>203</v>
      </c>
      <c r="D59" t="s">
        <v>54</v>
      </c>
      <c r="F59" s="28" t="s">
        <v>296</v>
      </c>
      <c r="G59" t="s">
        <v>299</v>
      </c>
      <c r="H59">
        <v>2018</v>
      </c>
      <c r="I59" s="31">
        <v>2005</v>
      </c>
      <c r="J59" s="20">
        <v>21445571</v>
      </c>
      <c r="K59" t="s">
        <v>58</v>
      </c>
      <c r="L59">
        <v>2030</v>
      </c>
      <c r="M59" s="40">
        <v>0.5</v>
      </c>
    </row>
    <row r="60" spans="1:13">
      <c r="A60" t="s">
        <v>201</v>
      </c>
      <c r="B60" s="1" t="s">
        <v>202</v>
      </c>
      <c r="C60" t="s">
        <v>203</v>
      </c>
      <c r="D60" t="s">
        <v>54</v>
      </c>
      <c r="F60" s="28" t="s">
        <v>296</v>
      </c>
      <c r="G60" t="s">
        <v>299</v>
      </c>
      <c r="H60">
        <v>2018</v>
      </c>
      <c r="I60" s="31">
        <v>2005</v>
      </c>
      <c r="J60" s="20">
        <v>21445571</v>
      </c>
      <c r="K60" t="s">
        <v>58</v>
      </c>
      <c r="L60">
        <v>2050</v>
      </c>
      <c r="M60" s="40">
        <v>0.95</v>
      </c>
    </row>
    <row r="61" spans="1:13">
      <c r="A61" t="s">
        <v>387</v>
      </c>
      <c r="B61" s="1" t="s">
        <v>388</v>
      </c>
      <c r="C61" t="s">
        <v>389</v>
      </c>
      <c r="D61" t="s">
        <v>169</v>
      </c>
      <c r="E61" s="28">
        <v>2050</v>
      </c>
      <c r="F61" s="28" t="s">
        <v>296</v>
      </c>
      <c r="G61" t="s">
        <v>294</v>
      </c>
      <c r="H61">
        <v>2021</v>
      </c>
      <c r="I61" s="31">
        <v>2015</v>
      </c>
      <c r="J61" s="20">
        <v>78</v>
      </c>
      <c r="K61" t="s">
        <v>64</v>
      </c>
      <c r="L61">
        <v>2030</v>
      </c>
      <c r="M61" s="40">
        <v>0.25</v>
      </c>
    </row>
    <row r="62" spans="1:13">
      <c r="A62" s="76" t="s">
        <v>387</v>
      </c>
      <c r="B62" s="77" t="s">
        <v>388</v>
      </c>
      <c r="C62" s="76" t="s">
        <v>389</v>
      </c>
      <c r="D62" s="76" t="s">
        <v>169</v>
      </c>
      <c r="E62" s="78">
        <v>2050</v>
      </c>
      <c r="F62" s="78" t="s">
        <v>293</v>
      </c>
      <c r="G62" s="76" t="s">
        <v>300</v>
      </c>
      <c r="H62" s="76">
        <v>2021</v>
      </c>
      <c r="I62" s="79">
        <v>2015</v>
      </c>
      <c r="J62" s="80">
        <f>526.9/749.7</f>
        <v>0.70281445911698004</v>
      </c>
      <c r="K62" s="76" t="s">
        <v>386</v>
      </c>
      <c r="L62" s="76">
        <v>2030</v>
      </c>
      <c r="M62" s="82">
        <v>0.1</v>
      </c>
    </row>
    <row r="63" spans="1:13">
      <c r="A63" t="s">
        <v>390</v>
      </c>
      <c r="B63" s="1" t="s">
        <v>391</v>
      </c>
      <c r="C63" t="s">
        <v>393</v>
      </c>
      <c r="D63" t="s">
        <v>392</v>
      </c>
      <c r="E63" s="28">
        <v>2050</v>
      </c>
      <c r="F63" s="28" t="s">
        <v>296</v>
      </c>
      <c r="G63" t="s">
        <v>294</v>
      </c>
      <c r="H63">
        <v>2019</v>
      </c>
      <c r="I63" s="31">
        <v>2019</v>
      </c>
      <c r="J63" s="20">
        <v>53.8</v>
      </c>
      <c r="K63" t="s">
        <v>64</v>
      </c>
      <c r="L63">
        <v>2024</v>
      </c>
      <c r="M63" s="40">
        <f>1-49.5/J63</f>
        <v>7.9925650557620798E-2</v>
      </c>
    </row>
    <row r="64" spans="1:13">
      <c r="A64" s="76" t="s">
        <v>390</v>
      </c>
      <c r="B64" s="77" t="s">
        <v>391</v>
      </c>
      <c r="C64" s="76" t="s">
        <v>393</v>
      </c>
      <c r="D64" s="76" t="s">
        <v>392</v>
      </c>
      <c r="E64" s="78">
        <v>2050</v>
      </c>
      <c r="F64" s="78" t="s">
        <v>293</v>
      </c>
      <c r="G64" s="76" t="s">
        <v>300</v>
      </c>
      <c r="H64" s="76">
        <v>2019</v>
      </c>
      <c r="I64" s="79">
        <v>2019</v>
      </c>
      <c r="J64" s="80">
        <v>1</v>
      </c>
      <c r="K64" s="76" t="s">
        <v>386</v>
      </c>
      <c r="L64" s="76">
        <v>2024</v>
      </c>
      <c r="M64" s="82">
        <v>0.08</v>
      </c>
    </row>
    <row r="65" spans="1:13">
      <c r="A65" t="s">
        <v>204</v>
      </c>
      <c r="B65" s="1" t="s">
        <v>205</v>
      </c>
      <c r="C65" t="s">
        <v>206</v>
      </c>
      <c r="D65" t="s">
        <v>54</v>
      </c>
      <c r="E65" s="28">
        <v>2045</v>
      </c>
      <c r="F65" s="28" t="s">
        <v>296</v>
      </c>
      <c r="G65" t="s">
        <v>294</v>
      </c>
      <c r="H65">
        <v>2021</v>
      </c>
      <c r="I65" s="31">
        <v>2016</v>
      </c>
      <c r="J65">
        <v>2.2165439930000002</v>
      </c>
      <c r="K65" t="s">
        <v>64</v>
      </c>
      <c r="L65">
        <v>2045</v>
      </c>
      <c r="M65" s="40">
        <v>1</v>
      </c>
    </row>
    <row r="66" spans="1:13">
      <c r="A66" t="s">
        <v>207</v>
      </c>
      <c r="B66" s="1" t="s">
        <v>208</v>
      </c>
      <c r="C66" t="s">
        <v>209</v>
      </c>
      <c r="D66" t="s">
        <v>54</v>
      </c>
      <c r="E66" s="28">
        <v>2040</v>
      </c>
      <c r="F66" s="28" t="s">
        <v>296</v>
      </c>
      <c r="G66" t="s">
        <v>299</v>
      </c>
      <c r="H66">
        <v>2019</v>
      </c>
      <c r="I66" s="31">
        <v>2005</v>
      </c>
      <c r="J66" s="43">
        <v>6976930.1319702603</v>
      </c>
      <c r="K66" t="s">
        <v>58</v>
      </c>
      <c r="L66">
        <v>2040</v>
      </c>
      <c r="M66" s="40">
        <v>1</v>
      </c>
    </row>
    <row r="67" spans="1:13">
      <c r="A67" t="s">
        <v>210</v>
      </c>
      <c r="B67" s="1" t="s">
        <v>211</v>
      </c>
      <c r="C67" t="s">
        <v>212</v>
      </c>
      <c r="D67" t="s">
        <v>213</v>
      </c>
      <c r="E67" s="28">
        <v>2050</v>
      </c>
      <c r="F67" s="28" t="s">
        <v>293</v>
      </c>
      <c r="G67" t="s">
        <v>294</v>
      </c>
      <c r="H67">
        <v>2020</v>
      </c>
      <c r="I67" s="31">
        <v>2017</v>
      </c>
      <c r="J67">
        <v>2.06</v>
      </c>
      <c r="K67" t="s">
        <v>302</v>
      </c>
      <c r="L67">
        <v>2030</v>
      </c>
      <c r="M67" s="40">
        <v>0.2</v>
      </c>
    </row>
    <row r="68" spans="1:13">
      <c r="A68" t="s">
        <v>210</v>
      </c>
      <c r="B68" s="1" t="s">
        <v>211</v>
      </c>
      <c r="C68" t="s">
        <v>212</v>
      </c>
      <c r="D68" t="s">
        <v>213</v>
      </c>
      <c r="E68" s="28">
        <v>2050</v>
      </c>
      <c r="F68" s="28" t="s">
        <v>293</v>
      </c>
      <c r="G68" t="s">
        <v>294</v>
      </c>
      <c r="H68">
        <v>2020</v>
      </c>
      <c r="I68" s="31">
        <v>2017</v>
      </c>
      <c r="J68">
        <v>2.06</v>
      </c>
      <c r="K68" t="s">
        <v>302</v>
      </c>
      <c r="L68">
        <v>2040</v>
      </c>
      <c r="M68" s="40">
        <v>0.5</v>
      </c>
    </row>
    <row r="69" spans="1:13">
      <c r="A69" t="s">
        <v>214</v>
      </c>
      <c r="B69" s="1" t="s">
        <v>215</v>
      </c>
      <c r="C69" t="s">
        <v>216</v>
      </c>
      <c r="D69" t="s">
        <v>54</v>
      </c>
      <c r="E69" s="28">
        <v>2050</v>
      </c>
      <c r="F69" s="28" t="s">
        <v>296</v>
      </c>
      <c r="G69" t="s">
        <v>294</v>
      </c>
      <c r="H69">
        <v>2021</v>
      </c>
      <c r="I69" s="31">
        <v>2010</v>
      </c>
      <c r="J69" s="20">
        <f>60736086+1597157</f>
        <v>62333243</v>
      </c>
      <c r="K69" t="s">
        <v>58</v>
      </c>
      <c r="L69">
        <v>2035</v>
      </c>
      <c r="M69" s="40">
        <v>0.7</v>
      </c>
    </row>
    <row r="70" spans="1:13">
      <c r="A70" t="s">
        <v>214</v>
      </c>
      <c r="B70" s="1" t="s">
        <v>215</v>
      </c>
      <c r="C70" t="s">
        <v>216</v>
      </c>
      <c r="D70" t="s">
        <v>54</v>
      </c>
      <c r="E70" s="28">
        <v>2050</v>
      </c>
      <c r="F70" s="28" t="s">
        <v>296</v>
      </c>
      <c r="G70" t="s">
        <v>294</v>
      </c>
      <c r="H70">
        <v>2021</v>
      </c>
      <c r="I70" s="31">
        <v>2010</v>
      </c>
      <c r="J70" s="20">
        <f>60736086+1597157</f>
        <v>62333243</v>
      </c>
      <c r="K70" t="s">
        <v>58</v>
      </c>
      <c r="L70">
        <v>2040</v>
      </c>
      <c r="M70" s="40">
        <v>0.8</v>
      </c>
    </row>
    <row r="71" spans="1:13">
      <c r="A71" t="s">
        <v>217</v>
      </c>
      <c r="B71" s="1" t="s">
        <v>218</v>
      </c>
      <c r="C71" t="s">
        <v>219</v>
      </c>
      <c r="D71" t="s">
        <v>54</v>
      </c>
      <c r="E71" s="28">
        <v>2050</v>
      </c>
      <c r="F71" s="28" t="s">
        <v>296</v>
      </c>
      <c r="G71" t="s">
        <v>294</v>
      </c>
      <c r="H71">
        <v>2020</v>
      </c>
      <c r="I71" s="31">
        <v>2005</v>
      </c>
      <c r="J71" s="44">
        <v>16557441</v>
      </c>
      <c r="K71" t="s">
        <v>58</v>
      </c>
      <c r="L71">
        <v>2030</v>
      </c>
      <c r="M71" s="40">
        <v>0.7</v>
      </c>
    </row>
    <row r="72" spans="1:13">
      <c r="A72" t="s">
        <v>220</v>
      </c>
      <c r="B72" s="1" t="s">
        <v>221</v>
      </c>
      <c r="C72" t="s">
        <v>222</v>
      </c>
      <c r="D72" t="s">
        <v>54</v>
      </c>
      <c r="E72" s="28">
        <v>2040</v>
      </c>
      <c r="F72" s="28" t="s">
        <v>293</v>
      </c>
      <c r="G72" t="s">
        <v>294</v>
      </c>
      <c r="H72">
        <v>2020</v>
      </c>
      <c r="I72" s="31">
        <v>2010</v>
      </c>
      <c r="J72">
        <v>0.47</v>
      </c>
      <c r="K72" t="s">
        <v>295</v>
      </c>
      <c r="L72">
        <v>2030</v>
      </c>
      <c r="M72" s="40">
        <v>0.8</v>
      </c>
    </row>
    <row r="73" spans="1:13">
      <c r="A73" t="s">
        <v>223</v>
      </c>
      <c r="B73" s="1" t="s">
        <v>224</v>
      </c>
      <c r="C73" t="s">
        <v>225</v>
      </c>
      <c r="D73" t="s">
        <v>54</v>
      </c>
      <c r="E73" s="28">
        <v>2030</v>
      </c>
      <c r="F73" s="28" t="s">
        <v>296</v>
      </c>
      <c r="G73" t="s">
        <v>294</v>
      </c>
      <c r="H73">
        <v>2021</v>
      </c>
      <c r="I73" s="31">
        <v>2005</v>
      </c>
      <c r="J73" s="20">
        <v>26566330</v>
      </c>
      <c r="K73" t="s">
        <v>58</v>
      </c>
      <c r="L73">
        <v>2030</v>
      </c>
      <c r="M73" s="40">
        <v>1</v>
      </c>
    </row>
    <row r="74" spans="1:13">
      <c r="A74" t="s">
        <v>226</v>
      </c>
      <c r="B74" s="1" t="s">
        <v>227</v>
      </c>
      <c r="C74" t="s">
        <v>228</v>
      </c>
      <c r="D74" t="s">
        <v>229</v>
      </c>
      <c r="F74" s="28" t="s">
        <v>293</v>
      </c>
      <c r="G74" t="s">
        <v>294</v>
      </c>
      <c r="H74">
        <v>2021</v>
      </c>
      <c r="I74" s="31">
        <v>2018</v>
      </c>
      <c r="J74" s="20">
        <v>10.199999999999999</v>
      </c>
      <c r="K74" t="s">
        <v>307</v>
      </c>
      <c r="L74">
        <v>2035</v>
      </c>
      <c r="M74" s="40">
        <v>0.15</v>
      </c>
    </row>
    <row r="75" spans="1:13">
      <c r="A75" t="s">
        <v>230</v>
      </c>
      <c r="B75" s="1" t="s">
        <v>231</v>
      </c>
      <c r="C75" t="s">
        <v>232</v>
      </c>
      <c r="D75" t="s">
        <v>54</v>
      </c>
      <c r="E75" s="28">
        <v>2050</v>
      </c>
      <c r="F75" s="28" t="s">
        <v>293</v>
      </c>
      <c r="G75" t="s">
        <v>294</v>
      </c>
      <c r="H75">
        <v>2020</v>
      </c>
      <c r="I75" s="31">
        <v>2019</v>
      </c>
      <c r="J75" s="45">
        <v>0.80243130614229896</v>
      </c>
      <c r="K75" t="s">
        <v>295</v>
      </c>
      <c r="L75">
        <v>2030</v>
      </c>
      <c r="M75" s="40">
        <v>0.5</v>
      </c>
    </row>
    <row r="76" spans="1:13">
      <c r="A76" t="s">
        <v>233</v>
      </c>
      <c r="B76" s="1" t="s">
        <v>234</v>
      </c>
      <c r="C76" t="s">
        <v>235</v>
      </c>
      <c r="D76" t="s">
        <v>90</v>
      </c>
      <c r="E76" s="28">
        <v>2050</v>
      </c>
      <c r="F76" s="28" t="s">
        <v>296</v>
      </c>
      <c r="G76" t="s">
        <v>294</v>
      </c>
      <c r="H76">
        <v>2021</v>
      </c>
      <c r="I76" s="31">
        <v>2016</v>
      </c>
      <c r="J76" s="45">
        <v>68</v>
      </c>
      <c r="K76" t="s">
        <v>64</v>
      </c>
      <c r="L76">
        <v>2030</v>
      </c>
      <c r="M76" s="40">
        <v>0.5</v>
      </c>
    </row>
    <row r="77" spans="1:13">
      <c r="A77" t="s">
        <v>395</v>
      </c>
      <c r="B77" s="1" t="s">
        <v>396</v>
      </c>
      <c r="C77" t="s">
        <v>397</v>
      </c>
      <c r="D77" t="s">
        <v>398</v>
      </c>
      <c r="E77" s="28">
        <v>2050</v>
      </c>
      <c r="F77" s="28" t="s">
        <v>296</v>
      </c>
      <c r="G77" t="s">
        <v>294</v>
      </c>
      <c r="H77">
        <v>2018</v>
      </c>
      <c r="I77" s="31">
        <v>2018</v>
      </c>
      <c r="J77" s="45">
        <v>171.52</v>
      </c>
      <c r="K77" t="s">
        <v>64</v>
      </c>
      <c r="L77">
        <v>2023</v>
      </c>
      <c r="M77" s="40">
        <f>1-(J77-12.6)/J77</f>
        <v>7.3460820895522305E-2</v>
      </c>
    </row>
    <row r="78" spans="1:13">
      <c r="A78" s="76" t="s">
        <v>395</v>
      </c>
      <c r="B78" s="77" t="s">
        <v>396</v>
      </c>
      <c r="C78" s="76" t="s">
        <v>397</v>
      </c>
      <c r="D78" s="76" t="s">
        <v>398</v>
      </c>
      <c r="E78" s="78">
        <v>2050</v>
      </c>
      <c r="F78" s="78" t="s">
        <v>293</v>
      </c>
      <c r="G78" s="76" t="s">
        <v>300</v>
      </c>
      <c r="H78" s="76">
        <v>2018</v>
      </c>
      <c r="I78" s="79">
        <v>2018</v>
      </c>
      <c r="J78" s="88">
        <v>1</v>
      </c>
      <c r="K78" s="76" t="s">
        <v>386</v>
      </c>
      <c r="L78" s="76">
        <v>2023</v>
      </c>
      <c r="M78" s="82">
        <v>7.0000000000000007E-2</v>
      </c>
    </row>
    <row r="79" spans="1:13">
      <c r="A79" t="s">
        <v>400</v>
      </c>
      <c r="B79" s="1" t="s">
        <v>399</v>
      </c>
      <c r="C79" t="s">
        <v>402</v>
      </c>
      <c r="D79" t="s">
        <v>213</v>
      </c>
      <c r="E79" s="28">
        <v>2050</v>
      </c>
      <c r="F79" s="28" t="s">
        <v>296</v>
      </c>
      <c r="G79" t="s">
        <v>294</v>
      </c>
      <c r="H79">
        <v>2020</v>
      </c>
      <c r="I79" s="31">
        <v>2019</v>
      </c>
      <c r="J79" s="45">
        <v>1243</v>
      </c>
      <c r="K79" t="s">
        <v>401</v>
      </c>
      <c r="L79">
        <v>2025</v>
      </c>
      <c r="M79" s="40">
        <f>1-(957/1243)</f>
        <v>0.23008849557522126</v>
      </c>
    </row>
    <row r="80" spans="1:13">
      <c r="A80" t="s">
        <v>400</v>
      </c>
      <c r="B80" s="1" t="s">
        <v>399</v>
      </c>
      <c r="C80" t="s">
        <v>402</v>
      </c>
      <c r="D80" t="s">
        <v>213</v>
      </c>
      <c r="E80" s="28">
        <v>2050</v>
      </c>
      <c r="F80" s="28" t="s">
        <v>296</v>
      </c>
      <c r="G80" t="s">
        <v>294</v>
      </c>
      <c r="H80">
        <v>2020</v>
      </c>
      <c r="I80" s="31">
        <v>2019</v>
      </c>
      <c r="J80" s="45">
        <v>1243</v>
      </c>
      <c r="K80" t="s">
        <v>401</v>
      </c>
      <c r="L80">
        <v>2030</v>
      </c>
      <c r="M80" s="40">
        <f>1-(612/1243)</f>
        <v>0.50764279967819792</v>
      </c>
    </row>
    <row r="81" spans="1:13">
      <c r="A81" t="s">
        <v>400</v>
      </c>
      <c r="B81" s="1" t="s">
        <v>399</v>
      </c>
      <c r="C81" t="s">
        <v>402</v>
      </c>
      <c r="D81" t="s">
        <v>213</v>
      </c>
      <c r="E81" s="28">
        <v>2050</v>
      </c>
      <c r="F81" s="28" t="s">
        <v>296</v>
      </c>
      <c r="G81" t="s">
        <v>294</v>
      </c>
      <c r="H81">
        <v>2020</v>
      </c>
      <c r="I81" s="31">
        <v>2019</v>
      </c>
      <c r="J81" s="45">
        <v>1243</v>
      </c>
      <c r="K81" t="s">
        <v>401</v>
      </c>
      <c r="L81">
        <v>2040</v>
      </c>
      <c r="M81" s="40">
        <f>1-(280/1243)</f>
        <v>0.77473853580048269</v>
      </c>
    </row>
    <row r="82" spans="1:13">
      <c r="A82" t="s">
        <v>400</v>
      </c>
      <c r="B82" s="1" t="s">
        <v>399</v>
      </c>
      <c r="C82" t="s">
        <v>402</v>
      </c>
      <c r="D82" t="s">
        <v>213</v>
      </c>
      <c r="E82" s="28">
        <v>2050</v>
      </c>
      <c r="F82" s="28" t="s">
        <v>296</v>
      </c>
      <c r="G82" t="s">
        <v>294</v>
      </c>
      <c r="H82">
        <v>2020</v>
      </c>
      <c r="I82" s="31">
        <v>2019</v>
      </c>
      <c r="J82" s="45">
        <v>1243</v>
      </c>
      <c r="K82" t="s">
        <v>401</v>
      </c>
      <c r="L82">
        <v>2050</v>
      </c>
      <c r="M82" s="40">
        <v>1</v>
      </c>
    </row>
    <row r="83" spans="1:13">
      <c r="A83" t="s">
        <v>400</v>
      </c>
      <c r="B83" s="1" t="s">
        <v>399</v>
      </c>
      <c r="C83" t="s">
        <v>402</v>
      </c>
      <c r="D83" t="s">
        <v>213</v>
      </c>
      <c r="E83" s="28">
        <v>2050</v>
      </c>
      <c r="F83" s="28" t="s">
        <v>296</v>
      </c>
      <c r="G83" t="s">
        <v>300</v>
      </c>
      <c r="H83">
        <v>2020</v>
      </c>
      <c r="I83" s="31">
        <v>2019</v>
      </c>
      <c r="J83" s="45">
        <v>15063</v>
      </c>
      <c r="K83" t="s">
        <v>401</v>
      </c>
      <c r="L83">
        <v>2025</v>
      </c>
      <c r="M83" s="40">
        <f>1-(14998/15063)</f>
        <v>4.3152094536280661E-3</v>
      </c>
    </row>
    <row r="84" spans="1:13">
      <c r="A84" t="s">
        <v>400</v>
      </c>
      <c r="B84" s="1" t="s">
        <v>399</v>
      </c>
      <c r="C84" t="s">
        <v>402</v>
      </c>
      <c r="D84" t="s">
        <v>213</v>
      </c>
      <c r="E84" s="28">
        <v>2050</v>
      </c>
      <c r="F84" s="28" t="s">
        <v>296</v>
      </c>
      <c r="G84" t="s">
        <v>300</v>
      </c>
      <c r="H84">
        <v>2020</v>
      </c>
      <c r="I84" s="31">
        <v>2019</v>
      </c>
      <c r="J84" s="45">
        <v>15063</v>
      </c>
      <c r="K84" t="s">
        <v>401</v>
      </c>
      <c r="L84">
        <v>2030</v>
      </c>
      <c r="M84" s="40">
        <f>1-(11493/15063)</f>
        <v>0.23700458076080466</v>
      </c>
    </row>
    <row r="85" spans="1:13">
      <c r="A85" t="s">
        <v>400</v>
      </c>
      <c r="B85" s="1" t="s">
        <v>399</v>
      </c>
      <c r="C85" t="s">
        <v>402</v>
      </c>
      <c r="D85" t="s">
        <v>213</v>
      </c>
      <c r="E85" s="28">
        <v>2050</v>
      </c>
      <c r="F85" s="28" t="s">
        <v>296</v>
      </c>
      <c r="G85" t="s">
        <v>300</v>
      </c>
      <c r="H85">
        <v>2020</v>
      </c>
      <c r="I85" s="31">
        <v>2019</v>
      </c>
      <c r="J85" s="45">
        <v>15063</v>
      </c>
      <c r="K85" t="s">
        <v>401</v>
      </c>
      <c r="L85">
        <v>2040</v>
      </c>
      <c r="M85" s="40">
        <f>1-(7819/15063)</f>
        <v>0.48091349664741423</v>
      </c>
    </row>
    <row r="86" spans="1:13">
      <c r="A86" t="s">
        <v>400</v>
      </c>
      <c r="B86" s="1" t="s">
        <v>399</v>
      </c>
      <c r="C86" t="s">
        <v>402</v>
      </c>
      <c r="D86" t="s">
        <v>213</v>
      </c>
      <c r="E86" s="28">
        <v>2050</v>
      </c>
      <c r="F86" s="28" t="s">
        <v>296</v>
      </c>
      <c r="G86" t="s">
        <v>300</v>
      </c>
      <c r="H86">
        <v>2020</v>
      </c>
      <c r="I86" s="31">
        <v>2019</v>
      </c>
      <c r="J86" s="45">
        <v>15063</v>
      </c>
      <c r="K86" t="s">
        <v>401</v>
      </c>
      <c r="L86">
        <v>2050</v>
      </c>
      <c r="M86" s="40">
        <f>1-(4331/15063)</f>
        <v>0.71247427471287261</v>
      </c>
    </row>
    <row r="87" spans="1:13">
      <c r="A87" t="s">
        <v>237</v>
      </c>
      <c r="B87" s="1" t="s">
        <v>238</v>
      </c>
      <c r="C87" t="s">
        <v>239</v>
      </c>
      <c r="D87" t="s">
        <v>54</v>
      </c>
      <c r="E87" s="28">
        <v>2050</v>
      </c>
      <c r="F87" s="28" t="s">
        <v>293</v>
      </c>
      <c r="G87" t="s">
        <v>294</v>
      </c>
      <c r="H87">
        <v>2020</v>
      </c>
      <c r="I87" s="31">
        <v>2007</v>
      </c>
      <c r="J87" s="45">
        <v>0.98420553538837796</v>
      </c>
      <c r="K87" t="s">
        <v>295</v>
      </c>
      <c r="L87">
        <v>2030</v>
      </c>
      <c r="M87" s="40">
        <v>0.5</v>
      </c>
    </row>
    <row r="88" spans="1:13">
      <c r="A88" t="s">
        <v>240</v>
      </c>
      <c r="B88" s="1" t="s">
        <v>241</v>
      </c>
      <c r="C88" t="s">
        <v>242</v>
      </c>
      <c r="D88" t="s">
        <v>54</v>
      </c>
      <c r="E88" s="28">
        <v>2050</v>
      </c>
      <c r="F88" s="28" t="s">
        <v>293</v>
      </c>
      <c r="G88" t="s">
        <v>294</v>
      </c>
      <c r="H88">
        <v>2021</v>
      </c>
      <c r="I88" s="31">
        <v>2018</v>
      </c>
      <c r="J88">
        <v>5.162928</v>
      </c>
      <c r="K88" t="s">
        <v>302</v>
      </c>
      <c r="L88">
        <v>2025</v>
      </c>
      <c r="M88" s="40">
        <v>0.2</v>
      </c>
    </row>
    <row r="89" spans="1:13">
      <c r="A89" t="s">
        <v>240</v>
      </c>
      <c r="B89" s="1" t="s">
        <v>241</v>
      </c>
      <c r="C89" t="s">
        <v>242</v>
      </c>
      <c r="D89" t="s">
        <v>54</v>
      </c>
      <c r="E89" s="28">
        <v>2050</v>
      </c>
      <c r="F89" s="28" t="s">
        <v>293</v>
      </c>
      <c r="G89" t="s">
        <v>294</v>
      </c>
      <c r="H89">
        <v>2021</v>
      </c>
      <c r="I89" s="31">
        <v>2018</v>
      </c>
      <c r="J89">
        <v>5.162928</v>
      </c>
      <c r="K89" t="s">
        <v>302</v>
      </c>
      <c r="L89">
        <v>2030</v>
      </c>
      <c r="M89" s="40">
        <v>0.3</v>
      </c>
    </row>
    <row r="90" spans="1:13">
      <c r="A90" t="s">
        <v>243</v>
      </c>
      <c r="B90" s="1" t="s">
        <v>244</v>
      </c>
      <c r="C90" t="s">
        <v>245</v>
      </c>
      <c r="D90" t="s">
        <v>162</v>
      </c>
      <c r="E90" s="28">
        <v>2050</v>
      </c>
      <c r="F90" s="28" t="s">
        <v>293</v>
      </c>
      <c r="G90" t="s">
        <v>294</v>
      </c>
      <c r="H90">
        <v>2020</v>
      </c>
      <c r="I90" s="31">
        <v>2019</v>
      </c>
      <c r="J90" s="45">
        <v>0.46760301224943002</v>
      </c>
      <c r="K90" t="s">
        <v>295</v>
      </c>
      <c r="L90">
        <v>2030</v>
      </c>
      <c r="M90" s="40">
        <v>0.3</v>
      </c>
    </row>
    <row r="91" spans="1:13">
      <c r="A91" t="s">
        <v>246</v>
      </c>
      <c r="B91" s="1" t="s">
        <v>247</v>
      </c>
      <c r="C91" t="s">
        <v>248</v>
      </c>
      <c r="D91" t="s">
        <v>249</v>
      </c>
      <c r="F91" s="28" t="s">
        <v>293</v>
      </c>
      <c r="G91" t="s">
        <v>294</v>
      </c>
      <c r="H91">
        <v>2021</v>
      </c>
      <c r="I91" s="31">
        <v>2018</v>
      </c>
      <c r="J91" s="45">
        <v>2.9</v>
      </c>
      <c r="K91" t="s">
        <v>302</v>
      </c>
      <c r="L91">
        <v>2030</v>
      </c>
      <c r="M91" s="40">
        <v>0.3</v>
      </c>
    </row>
    <row r="92" spans="1:13">
      <c r="A92" t="s">
        <v>404</v>
      </c>
      <c r="B92" s="1" t="s">
        <v>405</v>
      </c>
      <c r="C92" t="s">
        <v>406</v>
      </c>
      <c r="D92" t="s">
        <v>193</v>
      </c>
      <c r="E92" s="28">
        <v>2050</v>
      </c>
      <c r="F92" s="28" t="s">
        <v>293</v>
      </c>
      <c r="G92" t="s">
        <v>294</v>
      </c>
      <c r="H92">
        <v>2020</v>
      </c>
      <c r="I92" s="31">
        <v>2013</v>
      </c>
      <c r="J92" s="45">
        <v>0.75</v>
      </c>
      <c r="K92" t="s">
        <v>407</v>
      </c>
      <c r="L92">
        <v>2030</v>
      </c>
      <c r="M92" s="40">
        <v>0.5</v>
      </c>
    </row>
    <row r="93" spans="1:13">
      <c r="A93" t="s">
        <v>250</v>
      </c>
      <c r="B93" t="s">
        <v>251</v>
      </c>
      <c r="C93" t="s">
        <v>252</v>
      </c>
      <c r="D93" t="s">
        <v>249</v>
      </c>
      <c r="F93" s="28" t="s">
        <v>293</v>
      </c>
      <c r="G93" t="s">
        <v>294</v>
      </c>
      <c r="H93">
        <v>2021</v>
      </c>
      <c r="I93" s="31">
        <v>2018</v>
      </c>
      <c r="J93" s="45">
        <v>1.69</v>
      </c>
      <c r="K93" t="s">
        <v>302</v>
      </c>
      <c r="L93">
        <v>2030</v>
      </c>
      <c r="M93" s="40">
        <v>0.2</v>
      </c>
    </row>
    <row r="94" spans="1:13">
      <c r="A94" t="s">
        <v>253</v>
      </c>
      <c r="B94" s="1" t="s">
        <v>254</v>
      </c>
      <c r="C94" t="s">
        <v>255</v>
      </c>
      <c r="D94" t="s">
        <v>54</v>
      </c>
      <c r="E94" s="28">
        <v>2050</v>
      </c>
      <c r="F94" s="28" t="s">
        <v>293</v>
      </c>
      <c r="G94" t="s">
        <v>300</v>
      </c>
      <c r="H94">
        <v>2021</v>
      </c>
      <c r="I94" s="31">
        <v>2017</v>
      </c>
      <c r="J94" s="45">
        <f>(185000+403000)/(25200*1.6)</f>
        <v>14.583333333333334</v>
      </c>
      <c r="K94" t="s">
        <v>301</v>
      </c>
      <c r="L94">
        <v>2030</v>
      </c>
      <c r="M94" s="40">
        <v>0</v>
      </c>
    </row>
    <row r="95" spans="1:13">
      <c r="A95" t="s">
        <v>253</v>
      </c>
      <c r="B95" s="1" t="s">
        <v>254</v>
      </c>
      <c r="C95" t="s">
        <v>255</v>
      </c>
      <c r="D95" t="s">
        <v>54</v>
      </c>
      <c r="E95" s="28">
        <v>2050</v>
      </c>
      <c r="F95" s="28" t="s">
        <v>293</v>
      </c>
      <c r="G95" t="s">
        <v>294</v>
      </c>
      <c r="H95">
        <v>2021</v>
      </c>
      <c r="I95" s="31">
        <v>2017</v>
      </c>
      <c r="J95" s="45">
        <f>(185000+403000)/(25200*1.6)</f>
        <v>14.583333333333334</v>
      </c>
      <c r="K95" t="s">
        <v>301</v>
      </c>
      <c r="L95">
        <v>2030</v>
      </c>
      <c r="M95" s="40">
        <v>0</v>
      </c>
    </row>
    <row r="96" spans="1:13">
      <c r="A96" t="s">
        <v>256</v>
      </c>
      <c r="B96" s="1" t="s">
        <v>257</v>
      </c>
      <c r="C96" t="s">
        <v>258</v>
      </c>
      <c r="D96" t="s">
        <v>54</v>
      </c>
      <c r="F96" s="28" t="s">
        <v>293</v>
      </c>
      <c r="G96" t="s">
        <v>294</v>
      </c>
      <c r="H96">
        <v>2021</v>
      </c>
      <c r="I96" s="31">
        <v>2018</v>
      </c>
      <c r="J96" s="45">
        <v>0.42172199999999999</v>
      </c>
      <c r="K96" t="s">
        <v>302</v>
      </c>
      <c r="L96">
        <v>2030</v>
      </c>
      <c r="M96" s="40">
        <v>0.4</v>
      </c>
    </row>
    <row r="97" spans="1:13">
      <c r="A97" t="s">
        <v>259</v>
      </c>
      <c r="B97" s="1" t="s">
        <v>260</v>
      </c>
      <c r="C97" t="s">
        <v>261</v>
      </c>
      <c r="D97" t="s">
        <v>193</v>
      </c>
      <c r="E97" s="28">
        <v>2050</v>
      </c>
      <c r="F97" s="28" t="s">
        <v>293</v>
      </c>
      <c r="G97" t="s">
        <v>300</v>
      </c>
      <c r="H97">
        <v>2020</v>
      </c>
      <c r="I97" s="31">
        <v>2020</v>
      </c>
      <c r="J97" s="46">
        <v>130</v>
      </c>
      <c r="K97" t="s">
        <v>301</v>
      </c>
      <c r="L97">
        <v>2030</v>
      </c>
      <c r="M97" s="47">
        <v>0.2</v>
      </c>
    </row>
    <row r="98" spans="1:13">
      <c r="A98" t="s">
        <v>259</v>
      </c>
      <c r="B98" s="1" t="s">
        <v>260</v>
      </c>
      <c r="C98" t="s">
        <v>261</v>
      </c>
      <c r="D98" t="s">
        <v>193</v>
      </c>
      <c r="E98" s="28">
        <v>2050</v>
      </c>
      <c r="F98" s="28" t="s">
        <v>296</v>
      </c>
      <c r="G98" t="s">
        <v>294</v>
      </c>
      <c r="I98" s="31">
        <v>2020</v>
      </c>
      <c r="J98" s="46">
        <v>4.9000000000000004</v>
      </c>
      <c r="K98" t="s">
        <v>64</v>
      </c>
      <c r="L98">
        <v>2030</v>
      </c>
      <c r="M98" s="47">
        <v>0.2</v>
      </c>
    </row>
    <row r="99" spans="1:13">
      <c r="A99" t="s">
        <v>262</v>
      </c>
      <c r="B99" s="1" t="s">
        <v>263</v>
      </c>
      <c r="C99" t="s">
        <v>264</v>
      </c>
      <c r="D99" t="s">
        <v>54</v>
      </c>
      <c r="F99" s="28" t="s">
        <v>293</v>
      </c>
      <c r="G99" t="s">
        <v>294</v>
      </c>
      <c r="H99">
        <v>2020</v>
      </c>
      <c r="I99" s="31">
        <v>2018</v>
      </c>
      <c r="J99" s="45">
        <v>0.315911</v>
      </c>
      <c r="K99" t="s">
        <v>302</v>
      </c>
      <c r="L99">
        <v>2030</v>
      </c>
      <c r="M99" s="40">
        <v>0.2</v>
      </c>
    </row>
    <row r="100" spans="1:13">
      <c r="A100" t="s">
        <v>265</v>
      </c>
      <c r="B100" s="1" t="s">
        <v>266</v>
      </c>
      <c r="C100" t="s">
        <v>267</v>
      </c>
      <c r="D100" t="s">
        <v>268</v>
      </c>
      <c r="E100" s="28">
        <v>2050</v>
      </c>
      <c r="F100" s="28" t="s">
        <v>296</v>
      </c>
      <c r="G100" t="s">
        <v>299</v>
      </c>
      <c r="H100">
        <v>2021</v>
      </c>
      <c r="I100" s="31">
        <v>2015</v>
      </c>
      <c r="J100" s="45">
        <v>1.8</v>
      </c>
      <c r="K100" t="s">
        <v>64</v>
      </c>
      <c r="L100">
        <v>2030</v>
      </c>
      <c r="M100" s="40">
        <v>0.16</v>
      </c>
    </row>
    <row r="101" spans="1:13">
      <c r="A101" t="s">
        <v>265</v>
      </c>
      <c r="B101" s="1" t="s">
        <v>266</v>
      </c>
      <c r="C101" t="s">
        <v>267</v>
      </c>
      <c r="D101" t="s">
        <v>268</v>
      </c>
      <c r="E101" s="28">
        <v>2050</v>
      </c>
      <c r="F101" s="28" t="s">
        <v>296</v>
      </c>
      <c r="G101" t="s">
        <v>308</v>
      </c>
      <c r="H101">
        <v>2021</v>
      </c>
      <c r="I101" s="31">
        <v>2015</v>
      </c>
      <c r="J101" s="45">
        <v>3.7</v>
      </c>
      <c r="K101" t="s">
        <v>64</v>
      </c>
      <c r="L101">
        <v>2030</v>
      </c>
      <c r="M101" s="40">
        <f>3.7/3.5-1</f>
        <v>5.7142857142857162E-2</v>
      </c>
    </row>
    <row r="102" spans="1:13">
      <c r="A102" s="48" t="s">
        <v>269</v>
      </c>
      <c r="B102" s="48" t="s">
        <v>270</v>
      </c>
      <c r="C102" s="48" t="s">
        <v>271</v>
      </c>
      <c r="D102" t="s">
        <v>162</v>
      </c>
      <c r="E102" s="48">
        <v>2050</v>
      </c>
      <c r="F102" s="48" t="s">
        <v>296</v>
      </c>
      <c r="G102" s="48" t="s">
        <v>299</v>
      </c>
      <c r="H102" s="48">
        <v>2020</v>
      </c>
      <c r="I102" s="48">
        <v>2005</v>
      </c>
      <c r="J102" s="48">
        <v>11.6416389602593</v>
      </c>
      <c r="K102" s="48" t="s">
        <v>64</v>
      </c>
      <c r="L102" s="48">
        <v>2050</v>
      </c>
      <c r="M102" s="49">
        <v>1</v>
      </c>
    </row>
    <row r="103" spans="1:13">
      <c r="A103" t="s">
        <v>272</v>
      </c>
      <c r="B103" t="s">
        <v>273</v>
      </c>
      <c r="C103" t="s">
        <v>274</v>
      </c>
      <c r="D103" t="s">
        <v>54</v>
      </c>
      <c r="E103" s="28">
        <v>2050</v>
      </c>
      <c r="F103" s="28" t="s">
        <v>296</v>
      </c>
      <c r="G103" t="s">
        <v>294</v>
      </c>
      <c r="H103">
        <v>2020</v>
      </c>
      <c r="I103" s="31">
        <v>2010</v>
      </c>
      <c r="J103">
        <v>173</v>
      </c>
      <c r="K103" t="s">
        <v>64</v>
      </c>
      <c r="L103">
        <v>2030</v>
      </c>
      <c r="M103" s="40">
        <v>0.6</v>
      </c>
    </row>
    <row r="104" spans="1:13">
      <c r="A104" t="s">
        <v>275</v>
      </c>
      <c r="B104" s="1" t="s">
        <v>276</v>
      </c>
      <c r="C104" t="s">
        <v>277</v>
      </c>
      <c r="D104" t="s">
        <v>54</v>
      </c>
      <c r="E104" s="28">
        <v>2050</v>
      </c>
      <c r="F104" s="28" t="s">
        <v>293</v>
      </c>
      <c r="G104" t="s">
        <v>294</v>
      </c>
      <c r="H104">
        <v>2020</v>
      </c>
      <c r="I104" s="31">
        <v>2005</v>
      </c>
      <c r="J104">
        <v>0.78</v>
      </c>
      <c r="K104" t="s">
        <v>295</v>
      </c>
      <c r="L104">
        <v>2025</v>
      </c>
      <c r="M104" s="40">
        <v>0.6</v>
      </c>
    </row>
    <row r="105" spans="1:13">
      <c r="A105" t="s">
        <v>275</v>
      </c>
      <c r="B105" s="1" t="s">
        <v>276</v>
      </c>
      <c r="C105" t="s">
        <v>277</v>
      </c>
      <c r="D105" t="s">
        <v>54</v>
      </c>
      <c r="E105" s="28">
        <v>2050</v>
      </c>
      <c r="F105" s="28" t="s">
        <v>293</v>
      </c>
      <c r="G105" t="s">
        <v>294</v>
      </c>
      <c r="H105">
        <v>2020</v>
      </c>
      <c r="I105" s="31">
        <v>2005</v>
      </c>
      <c r="J105">
        <v>0.78</v>
      </c>
      <c r="K105" t="s">
        <v>295</v>
      </c>
      <c r="L105">
        <v>2030</v>
      </c>
      <c r="M105" s="40">
        <v>0.8</v>
      </c>
    </row>
    <row r="106" spans="1:13">
      <c r="A106" t="s">
        <v>278</v>
      </c>
      <c r="B106" t="s">
        <v>279</v>
      </c>
      <c r="C106" t="s">
        <v>280</v>
      </c>
      <c r="D106" t="s">
        <v>54</v>
      </c>
      <c r="E106" s="28">
        <v>2050</v>
      </c>
      <c r="F106" s="28" t="s">
        <v>293</v>
      </c>
      <c r="G106" t="s">
        <v>294</v>
      </c>
      <c r="H106">
        <v>2020</v>
      </c>
      <c r="I106" s="31">
        <v>2018</v>
      </c>
      <c r="J106" s="45">
        <v>0.315911</v>
      </c>
      <c r="K106" t="s">
        <v>302</v>
      </c>
      <c r="L106">
        <v>2030</v>
      </c>
      <c r="M106" s="40">
        <v>0.3</v>
      </c>
    </row>
    <row r="107" spans="1:13">
      <c r="A107" t="s">
        <v>281</v>
      </c>
      <c r="B107" s="1" t="s">
        <v>282</v>
      </c>
      <c r="C107" t="s">
        <v>283</v>
      </c>
      <c r="D107" t="s">
        <v>54</v>
      </c>
      <c r="E107" s="28">
        <v>2050</v>
      </c>
      <c r="F107" s="28" t="s">
        <v>293</v>
      </c>
      <c r="G107" t="s">
        <v>294</v>
      </c>
      <c r="H107">
        <v>2020</v>
      </c>
      <c r="I107" s="31">
        <v>2005</v>
      </c>
      <c r="J107" s="45">
        <v>0.88086205923584704</v>
      </c>
      <c r="K107" t="s">
        <v>295</v>
      </c>
      <c r="L107">
        <v>2030</v>
      </c>
      <c r="M107" s="40">
        <v>0.8</v>
      </c>
    </row>
    <row r="108" spans="1:13">
      <c r="A108" t="s">
        <v>418</v>
      </c>
      <c r="B108" s="1" t="s">
        <v>419</v>
      </c>
      <c r="C108" t="s">
        <v>420</v>
      </c>
      <c r="D108" t="s">
        <v>54</v>
      </c>
      <c r="E108" s="28">
        <v>2050</v>
      </c>
      <c r="F108" s="28" t="s">
        <v>296</v>
      </c>
      <c r="G108" t="s">
        <v>294</v>
      </c>
      <c r="H108">
        <v>2020</v>
      </c>
      <c r="I108" s="31">
        <v>2010</v>
      </c>
      <c r="J108">
        <v>357983</v>
      </c>
      <c r="K108" t="s">
        <v>58</v>
      </c>
      <c r="L108">
        <v>2030</v>
      </c>
      <c r="M108" s="40">
        <v>0.5</v>
      </c>
    </row>
    <row r="109" spans="1:13">
      <c r="A109" t="s">
        <v>422</v>
      </c>
      <c r="B109" s="1" t="s">
        <v>423</v>
      </c>
      <c r="C109" t="s">
        <v>424</v>
      </c>
      <c r="D109" t="s">
        <v>54</v>
      </c>
      <c r="E109" s="28">
        <v>2050</v>
      </c>
      <c r="F109" s="28" t="s">
        <v>296</v>
      </c>
      <c r="G109" t="s">
        <v>294</v>
      </c>
      <c r="H109">
        <v>2020</v>
      </c>
      <c r="I109" s="31">
        <v>2019</v>
      </c>
      <c r="J109">
        <v>87198</v>
      </c>
      <c r="K109" t="s">
        <v>58</v>
      </c>
      <c r="L109">
        <v>2035</v>
      </c>
      <c r="M109" s="40">
        <v>0.68</v>
      </c>
    </row>
    <row r="110" spans="1:13">
      <c r="A110" t="s">
        <v>422</v>
      </c>
      <c r="B110" s="1" t="s">
        <v>423</v>
      </c>
      <c r="C110" t="s">
        <v>424</v>
      </c>
      <c r="D110" t="s">
        <v>54</v>
      </c>
      <c r="E110" s="28">
        <v>2050</v>
      </c>
      <c r="F110" s="28" t="s">
        <v>293</v>
      </c>
      <c r="G110" t="s">
        <v>300</v>
      </c>
      <c r="H110">
        <v>2020</v>
      </c>
      <c r="I110" s="31">
        <v>2019</v>
      </c>
      <c r="J110">
        <f>0.01865*1000</f>
        <v>18.649999999999999</v>
      </c>
      <c r="K110" t="s">
        <v>426</v>
      </c>
      <c r="L110">
        <v>2035</v>
      </c>
      <c r="M110" s="40">
        <v>0.79</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0" customWidth="1"/>
    <col min="2" max="2" width="22.6640625" style="51" customWidth="1"/>
    <col min="3" max="3" width="21.6640625" style="51" customWidth="1"/>
    <col min="4" max="4" width="44" customWidth="1"/>
    <col min="5" max="5" width="25.1640625" customWidth="1"/>
    <col min="6" max="6" width="26.6640625" customWidth="1"/>
    <col min="8" max="8" width="87.6640625" customWidth="1"/>
  </cols>
  <sheetData>
    <row r="1" spans="1:6" ht="16">
      <c r="A1" s="52" t="s">
        <v>309</v>
      </c>
      <c r="B1" s="53" t="s">
        <v>310</v>
      </c>
      <c r="C1" s="53" t="s">
        <v>311</v>
      </c>
      <c r="D1" s="54" t="s">
        <v>312</v>
      </c>
      <c r="E1" s="55" t="s">
        <v>313</v>
      </c>
      <c r="F1" s="56" t="s">
        <v>314</v>
      </c>
    </row>
    <row r="2" spans="1:6" ht="16">
      <c r="A2" s="57" t="s">
        <v>315</v>
      </c>
      <c r="B2" s="58" t="s">
        <v>0</v>
      </c>
      <c r="C2" s="59" t="s">
        <v>316</v>
      </c>
      <c r="D2" s="51" t="s">
        <v>317</v>
      </c>
      <c r="E2" t="s">
        <v>318</v>
      </c>
      <c r="F2" t="s">
        <v>319</v>
      </c>
    </row>
    <row r="3" spans="1:6" ht="16">
      <c r="A3" s="57" t="s">
        <v>315</v>
      </c>
      <c r="B3" s="60" t="s">
        <v>1</v>
      </c>
      <c r="C3" s="59" t="s">
        <v>316</v>
      </c>
      <c r="D3" s="61" t="s">
        <v>320</v>
      </c>
      <c r="E3" s="4" t="s">
        <v>318</v>
      </c>
      <c r="F3" s="4" t="s">
        <v>321</v>
      </c>
    </row>
    <row r="4" spans="1:6" ht="32">
      <c r="A4" s="57" t="s">
        <v>315</v>
      </c>
      <c r="B4" s="58" t="s">
        <v>2</v>
      </c>
      <c r="C4" s="59" t="s">
        <v>316</v>
      </c>
      <c r="D4" s="51" t="s">
        <v>322</v>
      </c>
      <c r="E4" t="s">
        <v>318</v>
      </c>
      <c r="F4" t="s">
        <v>319</v>
      </c>
    </row>
    <row r="5" spans="1:6" ht="32">
      <c r="A5" s="57" t="s">
        <v>315</v>
      </c>
      <c r="B5" s="58" t="s">
        <v>3</v>
      </c>
      <c r="C5" s="59" t="s">
        <v>316</v>
      </c>
      <c r="D5" s="51" t="s">
        <v>323</v>
      </c>
      <c r="E5" t="s">
        <v>318</v>
      </c>
      <c r="F5" t="s">
        <v>319</v>
      </c>
    </row>
    <row r="6" spans="1:6" ht="48">
      <c r="A6" s="57" t="s">
        <v>315</v>
      </c>
      <c r="B6" s="60" t="s">
        <v>4</v>
      </c>
      <c r="C6" s="59" t="s">
        <v>316</v>
      </c>
      <c r="D6" s="61" t="s">
        <v>324</v>
      </c>
      <c r="E6" s="4" t="s">
        <v>318</v>
      </c>
      <c r="F6" s="4" t="s">
        <v>321</v>
      </c>
    </row>
    <row r="7" spans="1:6" ht="32">
      <c r="A7" s="57" t="s">
        <v>315</v>
      </c>
      <c r="B7" s="58" t="s">
        <v>5</v>
      </c>
      <c r="C7" s="59" t="s">
        <v>316</v>
      </c>
      <c r="D7" s="29" t="s">
        <v>325</v>
      </c>
      <c r="E7" s="62" t="s">
        <v>326</v>
      </c>
      <c r="F7" t="s">
        <v>319</v>
      </c>
    </row>
    <row r="8" spans="1:6" ht="16">
      <c r="A8" s="57" t="s">
        <v>315</v>
      </c>
      <c r="B8" s="58" t="s">
        <v>6</v>
      </c>
      <c r="C8" s="59" t="s">
        <v>316</v>
      </c>
      <c r="D8" s="29" t="s">
        <v>327</v>
      </c>
      <c r="E8" t="s">
        <v>328</v>
      </c>
      <c r="F8" t="s">
        <v>319</v>
      </c>
    </row>
    <row r="9" spans="1:6" ht="32">
      <c r="A9" s="57" t="s">
        <v>315</v>
      </c>
      <c r="B9" s="58" t="s">
        <v>7</v>
      </c>
      <c r="C9" s="59" t="s">
        <v>316</v>
      </c>
      <c r="D9" s="51" t="s">
        <v>329</v>
      </c>
      <c r="E9" t="s">
        <v>318</v>
      </c>
      <c r="F9" t="s">
        <v>319</v>
      </c>
    </row>
    <row r="10" spans="1:6" ht="16">
      <c r="A10" s="57" t="s">
        <v>315</v>
      </c>
      <c r="B10" s="63" t="s">
        <v>8</v>
      </c>
      <c r="C10" s="59" t="s">
        <v>316</v>
      </c>
      <c r="D10" s="51" t="s">
        <v>330</v>
      </c>
      <c r="E10" t="s">
        <v>331</v>
      </c>
      <c r="F10" t="s">
        <v>319</v>
      </c>
    </row>
    <row r="11" spans="1:6" ht="16">
      <c r="A11" s="57" t="s">
        <v>315</v>
      </c>
      <c r="B11" s="58" t="s">
        <v>9</v>
      </c>
      <c r="C11" s="59" t="s">
        <v>316</v>
      </c>
      <c r="D11" s="29" t="s">
        <v>332</v>
      </c>
      <c r="E11" t="s">
        <v>333</v>
      </c>
      <c r="F11" t="s">
        <v>319</v>
      </c>
    </row>
    <row r="12" spans="1:6" ht="16">
      <c r="A12" s="57" t="s">
        <v>315</v>
      </c>
      <c r="B12" s="58" t="s">
        <v>10</v>
      </c>
      <c r="C12" s="59" t="s">
        <v>316</v>
      </c>
      <c r="D12" s="29" t="s">
        <v>334</v>
      </c>
      <c r="E12" t="s">
        <v>333</v>
      </c>
      <c r="F12" t="s">
        <v>319</v>
      </c>
    </row>
    <row r="13" spans="1:6" ht="16">
      <c r="A13" s="57" t="s">
        <v>315</v>
      </c>
      <c r="B13" s="58" t="s">
        <v>11</v>
      </c>
      <c r="C13" s="59" t="s">
        <v>316</v>
      </c>
      <c r="D13" s="29" t="s">
        <v>335</v>
      </c>
      <c r="E13" t="s">
        <v>333</v>
      </c>
      <c r="F13" t="s">
        <v>319</v>
      </c>
    </row>
    <row r="14" spans="1:6" ht="16">
      <c r="A14" s="57" t="s">
        <v>315</v>
      </c>
      <c r="B14" s="58" t="s">
        <v>12</v>
      </c>
      <c r="C14" s="59" t="s">
        <v>316</v>
      </c>
      <c r="D14" s="29" t="s">
        <v>336</v>
      </c>
      <c r="E14" t="s">
        <v>333</v>
      </c>
      <c r="F14" t="s">
        <v>319</v>
      </c>
    </row>
    <row r="15" spans="1:6" ht="32">
      <c r="A15" s="57" t="s">
        <v>315</v>
      </c>
      <c r="B15" s="58" t="s">
        <v>13</v>
      </c>
      <c r="C15" s="59" t="s">
        <v>316</v>
      </c>
      <c r="D15" s="29" t="s">
        <v>337</v>
      </c>
      <c r="E15" t="s">
        <v>333</v>
      </c>
      <c r="F15" t="s">
        <v>319</v>
      </c>
    </row>
    <row r="16" spans="1:6" s="50" customFormat="1" ht="72.75" customHeight="1">
      <c r="A16" s="64" t="s">
        <v>338</v>
      </c>
      <c r="B16" s="58" t="s">
        <v>339</v>
      </c>
      <c r="C16" s="59" t="s">
        <v>316</v>
      </c>
      <c r="D16" s="51" t="s">
        <v>340</v>
      </c>
      <c r="E16" s="65" t="s">
        <v>341</v>
      </c>
      <c r="F16" s="50" t="s">
        <v>319</v>
      </c>
    </row>
    <row r="17" spans="1:6" s="50" customFormat="1" ht="72.75" customHeight="1">
      <c r="A17" s="64" t="s">
        <v>342</v>
      </c>
      <c r="B17" s="58" t="s">
        <v>15</v>
      </c>
      <c r="C17" s="59" t="s">
        <v>316</v>
      </c>
      <c r="D17" s="51" t="s">
        <v>343</v>
      </c>
      <c r="E17" s="65" t="s">
        <v>344</v>
      </c>
      <c r="F17" s="50" t="s">
        <v>319</v>
      </c>
    </row>
    <row r="18" spans="1:6" ht="32">
      <c r="A18" s="66" t="s">
        <v>345</v>
      </c>
      <c r="B18" s="67" t="s">
        <v>16</v>
      </c>
      <c r="C18" s="59" t="s">
        <v>316</v>
      </c>
      <c r="D18" s="29" t="s">
        <v>346</v>
      </c>
      <c r="E18" t="s">
        <v>347</v>
      </c>
      <c r="F18" t="s">
        <v>319</v>
      </c>
    </row>
    <row r="19" spans="1:6" ht="32">
      <c r="A19" s="66" t="s">
        <v>345</v>
      </c>
      <c r="B19" s="67" t="s">
        <v>17</v>
      </c>
      <c r="C19" s="59" t="s">
        <v>316</v>
      </c>
      <c r="D19" s="29" t="s">
        <v>346</v>
      </c>
      <c r="E19" t="s">
        <v>347</v>
      </c>
      <c r="F19" t="s">
        <v>319</v>
      </c>
    </row>
    <row r="20" spans="1:6" ht="32">
      <c r="A20" s="66" t="s">
        <v>345</v>
      </c>
      <c r="B20" s="67" t="s">
        <v>18</v>
      </c>
      <c r="C20" s="59" t="s">
        <v>316</v>
      </c>
      <c r="D20" s="29" t="s">
        <v>346</v>
      </c>
      <c r="E20" t="s">
        <v>347</v>
      </c>
      <c r="F20" t="s">
        <v>319</v>
      </c>
    </row>
    <row r="21" spans="1:6" ht="32">
      <c r="A21" s="66" t="s">
        <v>345</v>
      </c>
      <c r="B21" s="67" t="s">
        <v>19</v>
      </c>
      <c r="C21" s="59" t="s">
        <v>316</v>
      </c>
      <c r="D21" s="29" t="s">
        <v>346</v>
      </c>
      <c r="E21" t="s">
        <v>347</v>
      </c>
      <c r="F21" t="s">
        <v>319</v>
      </c>
    </row>
    <row r="22" spans="1:6" ht="32">
      <c r="A22" s="66" t="s">
        <v>345</v>
      </c>
      <c r="B22" s="67" t="s">
        <v>20</v>
      </c>
      <c r="C22" s="59" t="s">
        <v>316</v>
      </c>
      <c r="D22" s="29" t="s">
        <v>346</v>
      </c>
      <c r="E22" t="s">
        <v>347</v>
      </c>
      <c r="F22" t="s">
        <v>319</v>
      </c>
    </row>
    <row r="23" spans="1:6" ht="32">
      <c r="A23" s="66" t="s">
        <v>345</v>
      </c>
      <c r="B23" s="67" t="s">
        <v>21</v>
      </c>
      <c r="C23" s="59" t="s">
        <v>316</v>
      </c>
      <c r="D23" s="29" t="s">
        <v>348</v>
      </c>
      <c r="E23" t="s">
        <v>347</v>
      </c>
      <c r="F23" t="s">
        <v>321</v>
      </c>
    </row>
    <row r="24" spans="1:6" ht="48">
      <c r="A24" s="66" t="s">
        <v>345</v>
      </c>
      <c r="B24" s="67" t="s">
        <v>22</v>
      </c>
      <c r="C24" s="59" t="s">
        <v>316</v>
      </c>
      <c r="D24" s="68" t="s">
        <v>349</v>
      </c>
      <c r="E24" s="37" t="s">
        <v>347</v>
      </c>
      <c r="F24" s="68" t="s">
        <v>350</v>
      </c>
    </row>
    <row r="25" spans="1:6" ht="32">
      <c r="A25" s="66" t="s">
        <v>345</v>
      </c>
      <c r="B25" s="69" t="s">
        <v>23</v>
      </c>
      <c r="C25" s="59" t="s">
        <v>316</v>
      </c>
      <c r="D25" s="29" t="s">
        <v>351</v>
      </c>
      <c r="E25" t="s">
        <v>347</v>
      </c>
      <c r="F25" t="s">
        <v>319</v>
      </c>
    </row>
    <row r="26" spans="1:6" ht="32">
      <c r="A26" s="66" t="s">
        <v>345</v>
      </c>
      <c r="B26" s="69" t="s">
        <v>24</v>
      </c>
      <c r="C26" s="59" t="s">
        <v>316</v>
      </c>
      <c r="D26" s="29" t="s">
        <v>351</v>
      </c>
      <c r="E26" t="s">
        <v>347</v>
      </c>
      <c r="F26" t="s">
        <v>319</v>
      </c>
    </row>
    <row r="27" spans="1:6" ht="32">
      <c r="A27" s="66" t="s">
        <v>345</v>
      </c>
      <c r="B27" s="69" t="s">
        <v>25</v>
      </c>
      <c r="C27" s="59" t="s">
        <v>316</v>
      </c>
      <c r="D27" s="29" t="s">
        <v>351</v>
      </c>
      <c r="E27" t="s">
        <v>347</v>
      </c>
      <c r="F27" t="s">
        <v>319</v>
      </c>
    </row>
    <row r="28" spans="1:6" ht="32">
      <c r="A28" s="66" t="s">
        <v>345</v>
      </c>
      <c r="B28" s="69" t="s">
        <v>26</v>
      </c>
      <c r="C28" s="59" t="s">
        <v>316</v>
      </c>
      <c r="D28" s="29" t="s">
        <v>351</v>
      </c>
      <c r="E28" t="s">
        <v>347</v>
      </c>
      <c r="F28" t="s">
        <v>319</v>
      </c>
    </row>
    <row r="29" spans="1:6" ht="32">
      <c r="A29" s="66" t="s">
        <v>345</v>
      </c>
      <c r="B29" s="69" t="s">
        <v>27</v>
      </c>
      <c r="C29" s="59" t="s">
        <v>316</v>
      </c>
      <c r="D29" s="29" t="s">
        <v>351</v>
      </c>
      <c r="E29" t="s">
        <v>347</v>
      </c>
      <c r="F29" t="s">
        <v>319</v>
      </c>
    </row>
    <row r="30" spans="1:6" ht="32">
      <c r="A30" s="66" t="s">
        <v>345</v>
      </c>
      <c r="B30" s="69" t="s">
        <v>28</v>
      </c>
      <c r="C30" s="59" t="s">
        <v>316</v>
      </c>
      <c r="D30" s="29" t="s">
        <v>352</v>
      </c>
      <c r="E30" t="s">
        <v>347</v>
      </c>
      <c r="F30" t="s">
        <v>321</v>
      </c>
    </row>
    <row r="31" spans="1:6" ht="48">
      <c r="A31" s="66" t="s">
        <v>345</v>
      </c>
      <c r="B31" s="69" t="s">
        <v>29</v>
      </c>
      <c r="C31" s="59" t="s">
        <v>316</v>
      </c>
      <c r="D31" s="68" t="s">
        <v>353</v>
      </c>
      <c r="E31" s="37" t="s">
        <v>347</v>
      </c>
      <c r="F31" s="68" t="s">
        <v>350</v>
      </c>
    </row>
    <row r="32" spans="1:6" ht="32">
      <c r="A32" s="66" t="s">
        <v>345</v>
      </c>
      <c r="B32" s="67" t="s">
        <v>30</v>
      </c>
      <c r="C32" s="59" t="s">
        <v>316</v>
      </c>
      <c r="D32" s="29" t="s">
        <v>354</v>
      </c>
      <c r="E32" t="s">
        <v>347</v>
      </c>
      <c r="F32" t="s">
        <v>319</v>
      </c>
    </row>
    <row r="33" spans="1:6" ht="32">
      <c r="A33" s="66" t="s">
        <v>345</v>
      </c>
      <c r="B33" s="67" t="s">
        <v>31</v>
      </c>
      <c r="C33" s="59" t="s">
        <v>316</v>
      </c>
      <c r="D33" s="29" t="s">
        <v>354</v>
      </c>
      <c r="E33" t="s">
        <v>347</v>
      </c>
      <c r="F33" t="s">
        <v>319</v>
      </c>
    </row>
    <row r="34" spans="1:6" ht="32">
      <c r="A34" s="66" t="s">
        <v>345</v>
      </c>
      <c r="B34" s="67" t="s">
        <v>32</v>
      </c>
      <c r="C34" s="59" t="s">
        <v>316</v>
      </c>
      <c r="D34" s="29" t="s">
        <v>354</v>
      </c>
      <c r="E34" t="s">
        <v>347</v>
      </c>
      <c r="F34" t="s">
        <v>319</v>
      </c>
    </row>
    <row r="35" spans="1:6" ht="32">
      <c r="A35" s="66" t="s">
        <v>345</v>
      </c>
      <c r="B35" s="67" t="s">
        <v>33</v>
      </c>
      <c r="C35" s="59" t="s">
        <v>316</v>
      </c>
      <c r="D35" s="29" t="s">
        <v>354</v>
      </c>
      <c r="E35" t="s">
        <v>347</v>
      </c>
      <c r="F35" t="s">
        <v>319</v>
      </c>
    </row>
    <row r="36" spans="1:6" ht="32">
      <c r="A36" s="66" t="s">
        <v>345</v>
      </c>
      <c r="B36" s="67" t="s">
        <v>34</v>
      </c>
      <c r="C36" s="59" t="s">
        <v>316</v>
      </c>
      <c r="D36" s="29" t="s">
        <v>354</v>
      </c>
      <c r="E36" t="s">
        <v>347</v>
      </c>
      <c r="F36" t="s">
        <v>319</v>
      </c>
    </row>
    <row r="37" spans="1:6" ht="32">
      <c r="A37" s="66" t="s">
        <v>345</v>
      </c>
      <c r="B37" s="67" t="s">
        <v>35</v>
      </c>
      <c r="C37" s="59" t="s">
        <v>316</v>
      </c>
      <c r="D37" s="29" t="s">
        <v>355</v>
      </c>
      <c r="E37" t="s">
        <v>347</v>
      </c>
      <c r="F37" t="s">
        <v>321</v>
      </c>
    </row>
    <row r="38" spans="1:6" ht="48">
      <c r="A38" s="66" t="s">
        <v>345</v>
      </c>
      <c r="B38" s="67" t="s">
        <v>36</v>
      </c>
      <c r="C38" s="59" t="s">
        <v>316</v>
      </c>
      <c r="D38" s="68" t="s">
        <v>356</v>
      </c>
      <c r="E38" s="37" t="s">
        <v>347</v>
      </c>
      <c r="F38" s="68" t="s">
        <v>350</v>
      </c>
    </row>
    <row r="39" spans="1:6" ht="32">
      <c r="A39" s="66" t="s">
        <v>345</v>
      </c>
      <c r="B39" s="70" t="s">
        <v>37</v>
      </c>
      <c r="C39" s="59" t="s">
        <v>316</v>
      </c>
      <c r="D39" s="29" t="s">
        <v>357</v>
      </c>
      <c r="E39" t="s">
        <v>347</v>
      </c>
      <c r="F39" t="s">
        <v>319</v>
      </c>
    </row>
    <row r="40" spans="1:6" ht="32">
      <c r="A40" s="66" t="s">
        <v>345</v>
      </c>
      <c r="B40" s="70" t="s">
        <v>38</v>
      </c>
      <c r="C40" s="59" t="s">
        <v>316</v>
      </c>
      <c r="D40" s="29" t="s">
        <v>357</v>
      </c>
      <c r="E40" t="s">
        <v>347</v>
      </c>
      <c r="F40" t="s">
        <v>319</v>
      </c>
    </row>
    <row r="41" spans="1:6" ht="32">
      <c r="A41" s="66" t="s">
        <v>345</v>
      </c>
      <c r="B41" s="70" t="s">
        <v>39</v>
      </c>
      <c r="C41" s="59" t="s">
        <v>316</v>
      </c>
      <c r="D41" s="29" t="s">
        <v>357</v>
      </c>
      <c r="E41" t="s">
        <v>347</v>
      </c>
      <c r="F41" t="s">
        <v>319</v>
      </c>
    </row>
    <row r="42" spans="1:6" ht="32">
      <c r="A42" s="66" t="s">
        <v>345</v>
      </c>
      <c r="B42" s="70" t="s">
        <v>40</v>
      </c>
      <c r="C42" s="59" t="s">
        <v>316</v>
      </c>
      <c r="D42" s="29" t="s">
        <v>357</v>
      </c>
      <c r="E42" t="s">
        <v>347</v>
      </c>
      <c r="F42" t="s">
        <v>319</v>
      </c>
    </row>
    <row r="43" spans="1:6" ht="32">
      <c r="A43" s="66" t="s">
        <v>345</v>
      </c>
      <c r="B43" s="70" t="s">
        <v>41</v>
      </c>
      <c r="C43" s="59" t="s">
        <v>316</v>
      </c>
      <c r="D43" s="29" t="s">
        <v>357</v>
      </c>
      <c r="E43" t="s">
        <v>347</v>
      </c>
      <c r="F43" t="s">
        <v>319</v>
      </c>
    </row>
    <row r="44" spans="1:6" ht="32">
      <c r="A44" s="66" t="s">
        <v>345</v>
      </c>
      <c r="B44" s="70" t="s">
        <v>42</v>
      </c>
      <c r="C44" s="59" t="s">
        <v>316</v>
      </c>
      <c r="D44" s="29" t="s">
        <v>358</v>
      </c>
      <c r="E44" t="s">
        <v>347</v>
      </c>
      <c r="F44" t="s">
        <v>321</v>
      </c>
    </row>
    <row r="45" spans="1:6" ht="48">
      <c r="A45" s="66" t="s">
        <v>345</v>
      </c>
      <c r="B45" s="70" t="s">
        <v>43</v>
      </c>
      <c r="C45" s="59" t="s">
        <v>316</v>
      </c>
      <c r="D45" s="68" t="s">
        <v>359</v>
      </c>
      <c r="E45" s="37" t="s">
        <v>347</v>
      </c>
      <c r="F45" s="68" t="s">
        <v>350</v>
      </c>
    </row>
    <row r="46" spans="1:6" ht="32">
      <c r="A46" s="71" t="s">
        <v>360</v>
      </c>
      <c r="B46" s="58" t="s">
        <v>44</v>
      </c>
      <c r="C46" s="59" t="s">
        <v>316</v>
      </c>
      <c r="D46" s="29" t="s">
        <v>361</v>
      </c>
      <c r="E46" t="s">
        <v>347</v>
      </c>
      <c r="F46" t="s">
        <v>319</v>
      </c>
    </row>
    <row r="47" spans="1:6" ht="32">
      <c r="A47" s="71" t="s">
        <v>360</v>
      </c>
      <c r="B47" s="58" t="s">
        <v>45</v>
      </c>
      <c r="C47" s="59" t="s">
        <v>316</v>
      </c>
      <c r="D47" s="29" t="s">
        <v>361</v>
      </c>
      <c r="E47" t="s">
        <v>347</v>
      </c>
      <c r="F47" t="s">
        <v>319</v>
      </c>
    </row>
    <row r="48" spans="1:6" ht="32">
      <c r="A48" s="71" t="s">
        <v>360</v>
      </c>
      <c r="B48" s="58" t="s">
        <v>46</v>
      </c>
      <c r="C48" s="59" t="s">
        <v>316</v>
      </c>
      <c r="D48" s="29" t="s">
        <v>361</v>
      </c>
      <c r="E48" t="s">
        <v>347</v>
      </c>
      <c r="F48" t="s">
        <v>319</v>
      </c>
    </row>
    <row r="49" spans="1:6" ht="32">
      <c r="A49" s="71" t="s">
        <v>360</v>
      </c>
      <c r="B49" s="58" t="s">
        <v>47</v>
      </c>
      <c r="C49" s="59" t="s">
        <v>316</v>
      </c>
      <c r="D49" s="29" t="s">
        <v>361</v>
      </c>
      <c r="E49" t="s">
        <v>347</v>
      </c>
      <c r="F49" t="s">
        <v>319</v>
      </c>
    </row>
    <row r="50" spans="1:6" ht="32">
      <c r="A50" s="71" t="s">
        <v>360</v>
      </c>
      <c r="B50" s="58" t="s">
        <v>48</v>
      </c>
      <c r="C50" s="59" t="s">
        <v>316</v>
      </c>
      <c r="D50" s="29" t="s">
        <v>361</v>
      </c>
      <c r="E50" t="s">
        <v>347</v>
      </c>
      <c r="F50" t="s">
        <v>319</v>
      </c>
    </row>
    <row r="51" spans="1:6" ht="32">
      <c r="A51" s="71" t="s">
        <v>360</v>
      </c>
      <c r="B51" s="58" t="s">
        <v>49</v>
      </c>
      <c r="C51" s="59" t="s">
        <v>316</v>
      </c>
      <c r="D51" s="29" t="s">
        <v>361</v>
      </c>
      <c r="E51" t="s">
        <v>347</v>
      </c>
      <c r="F51" t="s">
        <v>321</v>
      </c>
    </row>
    <row r="52" spans="1:6" ht="32">
      <c r="A52" s="72" t="s">
        <v>362</v>
      </c>
      <c r="B52" s="58" t="s">
        <v>285</v>
      </c>
      <c r="C52" s="59" t="s">
        <v>363</v>
      </c>
      <c r="D52" s="29" t="s">
        <v>364</v>
      </c>
      <c r="E52" t="s">
        <v>365</v>
      </c>
      <c r="F52" t="s">
        <v>319</v>
      </c>
    </row>
    <row r="53" spans="1:6" ht="48">
      <c r="A53" s="72" t="s">
        <v>362</v>
      </c>
      <c r="B53" s="58" t="s">
        <v>286</v>
      </c>
      <c r="C53" s="59" t="s">
        <v>363</v>
      </c>
      <c r="D53" s="29" t="s">
        <v>366</v>
      </c>
      <c r="E53" t="s">
        <v>367</v>
      </c>
      <c r="F53" t="s">
        <v>319</v>
      </c>
    </row>
    <row r="54" spans="1:6" ht="16">
      <c r="A54" s="72" t="s">
        <v>362</v>
      </c>
      <c r="B54" s="60" t="s">
        <v>287</v>
      </c>
      <c r="C54" s="59" t="s">
        <v>363</v>
      </c>
      <c r="D54" s="73" t="s">
        <v>368</v>
      </c>
      <c r="E54" s="4" t="s">
        <v>369</v>
      </c>
      <c r="F54" s="4" t="s">
        <v>321</v>
      </c>
    </row>
    <row r="55" spans="1:6" ht="16">
      <c r="A55" s="72" t="s">
        <v>362</v>
      </c>
      <c r="B55" s="58" t="s">
        <v>288</v>
      </c>
      <c r="C55" s="59" t="s">
        <v>363</v>
      </c>
      <c r="D55" s="29" t="s">
        <v>370</v>
      </c>
      <c r="E55" t="s">
        <v>369</v>
      </c>
      <c r="F55" t="s">
        <v>319</v>
      </c>
    </row>
    <row r="56" spans="1:6" ht="80">
      <c r="A56" s="72" t="s">
        <v>362</v>
      </c>
      <c r="B56" s="58" t="s">
        <v>289</v>
      </c>
      <c r="C56" s="59" t="s">
        <v>363</v>
      </c>
      <c r="D56" s="29" t="s">
        <v>371</v>
      </c>
      <c r="E56" t="s">
        <v>372</v>
      </c>
      <c r="F56" t="s">
        <v>319</v>
      </c>
    </row>
    <row r="57" spans="1:6" ht="112">
      <c r="A57" s="72" t="s">
        <v>362</v>
      </c>
      <c r="B57" s="58" t="s">
        <v>290</v>
      </c>
      <c r="C57" s="59" t="s">
        <v>363</v>
      </c>
      <c r="D57" s="51" t="s">
        <v>373</v>
      </c>
      <c r="E57" s="74" t="s">
        <v>374</v>
      </c>
      <c r="F57" t="s">
        <v>319</v>
      </c>
    </row>
    <row r="58" spans="1:6" ht="16">
      <c r="A58" s="72" t="s">
        <v>362</v>
      </c>
      <c r="B58" s="58" t="s">
        <v>291</v>
      </c>
      <c r="C58" s="59" t="s">
        <v>363</v>
      </c>
      <c r="D58" s="29" t="s">
        <v>375</v>
      </c>
      <c r="E58" t="s">
        <v>369</v>
      </c>
      <c r="F58" t="s">
        <v>319</v>
      </c>
    </row>
    <row r="59" spans="1:6" ht="32">
      <c r="A59" s="72" t="s">
        <v>362</v>
      </c>
      <c r="B59" s="58" t="s">
        <v>292</v>
      </c>
      <c r="C59" s="59" t="s">
        <v>363</v>
      </c>
      <c r="D59" s="29" t="s">
        <v>376</v>
      </c>
      <c r="E59" t="s">
        <v>377</v>
      </c>
      <c r="F59" t="s">
        <v>319</v>
      </c>
    </row>
    <row r="60" spans="1:6" ht="48">
      <c r="A60" s="75" t="s">
        <v>378</v>
      </c>
      <c r="B60" s="58" t="s">
        <v>379</v>
      </c>
      <c r="C60" s="59" t="s">
        <v>363</v>
      </c>
      <c r="D60" s="29" t="s">
        <v>380</v>
      </c>
      <c r="E60" t="s">
        <v>369</v>
      </c>
      <c r="F60" t="s">
        <v>319</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zoomScale="150" zoomScaleNormal="150" workbookViewId="0">
      <selection activeCell="E2" sqref="E2:E77"/>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381</v>
      </c>
      <c r="E1" s="5" t="s">
        <v>427</v>
      </c>
    </row>
    <row r="2" spans="1:5">
      <c r="A2" t="s">
        <v>51</v>
      </c>
      <c r="B2" s="1" t="s">
        <v>52</v>
      </c>
      <c r="C2" t="s">
        <v>53</v>
      </c>
      <c r="D2" t="s">
        <v>53</v>
      </c>
      <c r="E2">
        <v>128044680</v>
      </c>
    </row>
    <row r="3" spans="1:5">
      <c r="A3" t="s">
        <v>60</v>
      </c>
      <c r="B3" s="1" t="s">
        <v>61</v>
      </c>
      <c r="C3" t="s">
        <v>62</v>
      </c>
      <c r="D3" t="s">
        <v>62</v>
      </c>
      <c r="E3">
        <v>222137352</v>
      </c>
    </row>
    <row r="4" spans="1:5">
      <c r="A4" t="s">
        <v>66</v>
      </c>
      <c r="B4" s="1" t="s">
        <v>67</v>
      </c>
      <c r="C4" t="s">
        <v>68</v>
      </c>
      <c r="D4" t="s">
        <v>68</v>
      </c>
      <c r="E4">
        <v>202792474</v>
      </c>
    </row>
    <row r="5" spans="1:5">
      <c r="A5" t="s">
        <v>69</v>
      </c>
      <c r="B5" s="1" t="s">
        <v>70</v>
      </c>
      <c r="C5" t="s">
        <v>71</v>
      </c>
      <c r="D5" t="s">
        <v>71</v>
      </c>
      <c r="E5">
        <v>173978728</v>
      </c>
    </row>
    <row r="6" spans="1:5">
      <c r="A6" t="s">
        <v>72</v>
      </c>
      <c r="B6" s="1" t="s">
        <v>73</v>
      </c>
      <c r="C6" t="s">
        <v>74</v>
      </c>
      <c r="D6" t="s">
        <v>74</v>
      </c>
      <c r="E6">
        <v>41688424</v>
      </c>
    </row>
    <row r="7" spans="1:5">
      <c r="A7" t="s">
        <v>410</v>
      </c>
      <c r="B7" s="1" t="s">
        <v>75</v>
      </c>
      <c r="C7" t="s">
        <v>408</v>
      </c>
      <c r="D7" t="s">
        <v>76</v>
      </c>
      <c r="E7">
        <v>228863679</v>
      </c>
    </row>
    <row r="8" spans="1:5">
      <c r="A8" t="s">
        <v>411</v>
      </c>
      <c r="B8" s="1" t="s">
        <v>75</v>
      </c>
      <c r="C8" t="s">
        <v>409</v>
      </c>
      <c r="D8" t="s">
        <v>76</v>
      </c>
      <c r="E8">
        <v>204298983</v>
      </c>
    </row>
    <row r="9" spans="1:5">
      <c r="A9" t="s">
        <v>77</v>
      </c>
      <c r="B9" s="1" t="s">
        <v>78</v>
      </c>
      <c r="C9" t="s">
        <v>79</v>
      </c>
      <c r="D9" t="s">
        <v>79</v>
      </c>
      <c r="E9">
        <v>229691950</v>
      </c>
    </row>
    <row r="10" spans="1:5">
      <c r="A10" t="s">
        <v>81</v>
      </c>
      <c r="B10" s="1" t="s">
        <v>82</v>
      </c>
      <c r="C10" t="s">
        <v>83</v>
      </c>
      <c r="D10" t="s">
        <v>83</v>
      </c>
      <c r="E10">
        <v>155462028</v>
      </c>
    </row>
    <row r="11" spans="1:5">
      <c r="A11" t="s">
        <v>87</v>
      </c>
      <c r="B11" s="1" t="s">
        <v>88</v>
      </c>
      <c r="C11" t="s">
        <v>89</v>
      </c>
      <c r="D11" t="s">
        <v>89</v>
      </c>
      <c r="E11">
        <v>155250000</v>
      </c>
    </row>
    <row r="12" spans="1:5">
      <c r="A12" t="s">
        <v>94</v>
      </c>
      <c r="B12" s="1" t="s">
        <v>95</v>
      </c>
      <c r="C12" t="s">
        <v>96</v>
      </c>
      <c r="D12" t="s">
        <v>96</v>
      </c>
      <c r="E12">
        <v>228522993</v>
      </c>
    </row>
    <row r="13" spans="1:5">
      <c r="A13" t="s">
        <v>98</v>
      </c>
      <c r="B13" s="1" t="s">
        <v>99</v>
      </c>
      <c r="C13" t="s">
        <v>100</v>
      </c>
      <c r="D13" t="s">
        <v>100</v>
      </c>
      <c r="E13">
        <v>46734541</v>
      </c>
    </row>
    <row r="14" spans="1:5">
      <c r="A14" t="s">
        <v>101</v>
      </c>
      <c r="B14" s="1" t="s">
        <v>102</v>
      </c>
      <c r="C14" t="s">
        <v>103</v>
      </c>
      <c r="D14" t="s">
        <v>103</v>
      </c>
      <c r="E14">
        <v>116731240</v>
      </c>
    </row>
    <row r="15" spans="1:5">
      <c r="A15" t="s">
        <v>104</v>
      </c>
      <c r="B15" s="1" t="s">
        <v>105</v>
      </c>
      <c r="C15" t="s">
        <v>106</v>
      </c>
      <c r="D15" t="s">
        <v>106</v>
      </c>
      <c r="E15">
        <v>107885876</v>
      </c>
    </row>
    <row r="16" spans="1:5">
      <c r="A16" t="s">
        <v>107</v>
      </c>
      <c r="B16" s="1" t="s">
        <v>108</v>
      </c>
      <c r="C16" t="s">
        <v>109</v>
      </c>
      <c r="D16" t="s">
        <v>109</v>
      </c>
      <c r="E16">
        <v>231997640</v>
      </c>
    </row>
    <row r="17" spans="1:5">
      <c r="A17" t="s">
        <v>110</v>
      </c>
      <c r="B17" s="1" t="s">
        <v>111</v>
      </c>
      <c r="C17" t="s">
        <v>112</v>
      </c>
      <c r="D17" t="s">
        <v>112</v>
      </c>
      <c r="E17">
        <v>229066412</v>
      </c>
    </row>
    <row r="18" spans="1:5">
      <c r="A18" t="s">
        <v>113</v>
      </c>
      <c r="B18" s="1" t="s">
        <v>114</v>
      </c>
      <c r="C18" t="s">
        <v>115</v>
      </c>
      <c r="D18" t="s">
        <v>115</v>
      </c>
      <c r="E18">
        <v>158355068</v>
      </c>
    </row>
    <row r="19" spans="1:5">
      <c r="A19" t="s">
        <v>116</v>
      </c>
      <c r="B19" s="1" t="s">
        <v>117</v>
      </c>
      <c r="C19" t="s">
        <v>118</v>
      </c>
      <c r="D19" t="s">
        <v>118</v>
      </c>
      <c r="E19">
        <v>193333000</v>
      </c>
    </row>
    <row r="20" spans="1:5">
      <c r="A20" t="s">
        <v>119</v>
      </c>
      <c r="B20" s="1" t="s">
        <v>120</v>
      </c>
      <c r="C20" t="s">
        <v>121</v>
      </c>
      <c r="D20" t="s">
        <v>121</v>
      </c>
      <c r="E20">
        <v>80377040</v>
      </c>
    </row>
    <row r="21" spans="1:5">
      <c r="A21" t="s">
        <v>122</v>
      </c>
      <c r="B21" s="1" t="s">
        <v>123</v>
      </c>
      <c r="C21" t="s">
        <v>124</v>
      </c>
      <c r="D21" t="s">
        <v>124</v>
      </c>
      <c r="E21">
        <v>79268888</v>
      </c>
    </row>
    <row r="22" spans="1:5">
      <c r="A22" t="s">
        <v>125</v>
      </c>
      <c r="B22" s="1" t="s">
        <v>126</v>
      </c>
      <c r="C22" t="s">
        <v>127</v>
      </c>
      <c r="D22" t="s">
        <v>127</v>
      </c>
      <c r="E22">
        <v>182808370</v>
      </c>
    </row>
    <row r="23" spans="1:5">
      <c r="A23" t="s">
        <v>129</v>
      </c>
      <c r="B23" s="1" t="s">
        <v>130</v>
      </c>
      <c r="C23" t="s">
        <v>131</v>
      </c>
      <c r="D23" t="s">
        <v>131</v>
      </c>
      <c r="E23">
        <v>148934030</v>
      </c>
    </row>
    <row r="24" spans="1:5">
      <c r="A24" t="s">
        <v>132</v>
      </c>
      <c r="B24" s="1" t="s">
        <v>133</v>
      </c>
      <c r="C24" t="s">
        <v>134</v>
      </c>
      <c r="D24" t="s">
        <v>134</v>
      </c>
      <c r="E24">
        <v>134977098</v>
      </c>
    </row>
    <row r="25" spans="1:5">
      <c r="A25" t="s">
        <v>138</v>
      </c>
      <c r="B25" s="1" t="s">
        <v>139</v>
      </c>
      <c r="C25" t="s">
        <v>140</v>
      </c>
      <c r="D25" t="s">
        <v>140</v>
      </c>
      <c r="E25">
        <v>98406012</v>
      </c>
    </row>
    <row r="26" spans="1:5">
      <c r="A26" t="s">
        <v>141</v>
      </c>
      <c r="B26" s="1" t="s">
        <v>142</v>
      </c>
      <c r="C26" t="s">
        <v>143</v>
      </c>
      <c r="D26" t="s">
        <v>143</v>
      </c>
      <c r="E26">
        <v>153651834</v>
      </c>
    </row>
    <row r="27" spans="1:5">
      <c r="A27" t="s">
        <v>144</v>
      </c>
      <c r="B27" s="1" t="s">
        <v>145</v>
      </c>
      <c r="C27" t="s">
        <v>146</v>
      </c>
      <c r="D27" t="s">
        <v>146</v>
      </c>
      <c r="E27">
        <v>206738107</v>
      </c>
    </row>
    <row r="28" spans="1:5">
      <c r="A28" t="s">
        <v>147</v>
      </c>
      <c r="B28" s="1" t="s">
        <v>148</v>
      </c>
      <c r="C28" t="s">
        <v>149</v>
      </c>
      <c r="D28" t="s">
        <v>149</v>
      </c>
      <c r="E28">
        <v>181136802</v>
      </c>
    </row>
    <row r="29" spans="1:5">
      <c r="A29" t="s">
        <v>150</v>
      </c>
      <c r="B29" s="1" t="s">
        <v>151</v>
      </c>
      <c r="C29" t="s">
        <v>152</v>
      </c>
      <c r="D29" t="s">
        <v>152</v>
      </c>
      <c r="E29">
        <v>156295764</v>
      </c>
    </row>
    <row r="30" spans="1:5">
      <c r="A30" t="s">
        <v>153</v>
      </c>
      <c r="B30" s="1" t="s">
        <v>154</v>
      </c>
      <c r="C30" t="s">
        <v>155</v>
      </c>
      <c r="D30" t="s">
        <v>155</v>
      </c>
      <c r="E30">
        <v>102932280</v>
      </c>
    </row>
    <row r="31" spans="1:5">
      <c r="A31" t="s">
        <v>156</v>
      </c>
      <c r="B31" s="1" t="s">
        <v>157</v>
      </c>
      <c r="C31" t="s">
        <v>158</v>
      </c>
      <c r="D31" t="s">
        <v>158</v>
      </c>
      <c r="E31">
        <v>64821154</v>
      </c>
    </row>
    <row r="32" spans="1:5">
      <c r="A32" t="s">
        <v>159</v>
      </c>
      <c r="B32" s="1" t="s">
        <v>160</v>
      </c>
      <c r="C32" t="s">
        <v>161</v>
      </c>
      <c r="D32" t="s">
        <v>161</v>
      </c>
      <c r="E32">
        <v>89039384</v>
      </c>
    </row>
    <row r="33" spans="1:5">
      <c r="A33" t="s">
        <v>163</v>
      </c>
      <c r="B33" s="1" t="s">
        <v>164</v>
      </c>
      <c r="C33" t="s">
        <v>165</v>
      </c>
      <c r="D33" t="s">
        <v>165</v>
      </c>
      <c r="E33">
        <v>213595586</v>
      </c>
    </row>
    <row r="34" spans="1:5">
      <c r="A34" t="s">
        <v>166</v>
      </c>
      <c r="B34" s="1" t="s">
        <v>167</v>
      </c>
      <c r="C34" t="s">
        <v>168</v>
      </c>
      <c r="D34" t="s">
        <v>168</v>
      </c>
      <c r="E34">
        <v>63616422</v>
      </c>
    </row>
    <row r="35" spans="1:5">
      <c r="A35" t="s">
        <v>170</v>
      </c>
      <c r="B35" s="1" t="s">
        <v>171</v>
      </c>
      <c r="C35" t="s">
        <v>172</v>
      </c>
      <c r="D35" t="s">
        <v>172</v>
      </c>
      <c r="E35">
        <v>109971040</v>
      </c>
    </row>
    <row r="36" spans="1:5">
      <c r="A36" t="s">
        <v>173</v>
      </c>
      <c r="B36" s="1" t="s">
        <v>174</v>
      </c>
      <c r="C36" t="s">
        <v>175</v>
      </c>
      <c r="D36" t="s">
        <v>175</v>
      </c>
      <c r="E36">
        <v>246149358</v>
      </c>
    </row>
    <row r="37" spans="1:5">
      <c r="A37" t="s">
        <v>383</v>
      </c>
      <c r="B37" s="1" t="s">
        <v>384</v>
      </c>
      <c r="C37" t="s">
        <v>385</v>
      </c>
      <c r="D37" t="s">
        <v>385</v>
      </c>
      <c r="E37">
        <v>93683520</v>
      </c>
    </row>
    <row r="38" spans="1:5">
      <c r="A38" t="s">
        <v>178</v>
      </c>
      <c r="B38" s="1" t="s">
        <v>179</v>
      </c>
      <c r="C38" t="s">
        <v>180</v>
      </c>
      <c r="D38" t="s">
        <v>180</v>
      </c>
      <c r="E38">
        <v>189043305</v>
      </c>
    </row>
    <row r="39" spans="1:5">
      <c r="A39" t="s">
        <v>181</v>
      </c>
      <c r="B39" s="1" t="s">
        <v>182</v>
      </c>
      <c r="C39" t="s">
        <v>183</v>
      </c>
      <c r="D39" t="s">
        <v>183</v>
      </c>
      <c r="E39">
        <v>105362580</v>
      </c>
    </row>
    <row r="40" spans="1:5">
      <c r="A40" t="s">
        <v>184</v>
      </c>
      <c r="B40" s="1" t="s">
        <v>185</v>
      </c>
      <c r="C40" t="s">
        <v>186</v>
      </c>
      <c r="D40" t="s">
        <v>186</v>
      </c>
      <c r="E40">
        <v>141196368</v>
      </c>
    </row>
    <row r="41" spans="1:5">
      <c r="A41" t="s">
        <v>187</v>
      </c>
      <c r="B41" s="1" t="s">
        <v>188</v>
      </c>
      <c r="C41" t="s">
        <v>189</v>
      </c>
      <c r="D41" t="s">
        <v>189</v>
      </c>
      <c r="E41">
        <v>96495785</v>
      </c>
    </row>
    <row r="42" spans="1:5">
      <c r="A42" t="s">
        <v>190</v>
      </c>
      <c r="B42" s="1" t="s">
        <v>191</v>
      </c>
      <c r="C42" t="s">
        <v>192</v>
      </c>
      <c r="D42" t="s">
        <v>192</v>
      </c>
      <c r="E42">
        <v>149373232</v>
      </c>
    </row>
    <row r="43" spans="1:5">
      <c r="A43" t="s">
        <v>195</v>
      </c>
      <c r="B43" s="1" t="s">
        <v>196</v>
      </c>
      <c r="C43" t="s">
        <v>197</v>
      </c>
      <c r="D43" t="s">
        <v>197</v>
      </c>
      <c r="E43">
        <v>133812864</v>
      </c>
    </row>
    <row r="44" spans="1:5">
      <c r="A44" t="s">
        <v>198</v>
      </c>
      <c r="B44" s="1" t="s">
        <v>199</v>
      </c>
      <c r="C44" t="s">
        <v>200</v>
      </c>
      <c r="D44" t="s">
        <v>200</v>
      </c>
      <c r="E44">
        <v>122816925</v>
      </c>
    </row>
    <row r="45" spans="1:5">
      <c r="A45" t="s">
        <v>201</v>
      </c>
      <c r="B45" s="1" t="s">
        <v>202</v>
      </c>
      <c r="C45" t="s">
        <v>203</v>
      </c>
      <c r="D45" t="s">
        <v>203</v>
      </c>
      <c r="E45">
        <v>169034587</v>
      </c>
    </row>
    <row r="46" spans="1:5">
      <c r="A46" t="s">
        <v>387</v>
      </c>
      <c r="B46" s="1" t="s">
        <v>388</v>
      </c>
      <c r="C46" t="s">
        <v>389</v>
      </c>
      <c r="D46" t="s">
        <v>389</v>
      </c>
      <c r="E46">
        <v>87518208</v>
      </c>
    </row>
    <row r="47" spans="1:5">
      <c r="A47" t="s">
        <v>390</v>
      </c>
      <c r="B47" s="1" t="s">
        <v>391</v>
      </c>
      <c r="C47" t="s">
        <v>393</v>
      </c>
      <c r="D47" t="s">
        <v>393</v>
      </c>
      <c r="E47">
        <v>64619604</v>
      </c>
    </row>
    <row r="48" spans="1:5">
      <c r="A48" t="s">
        <v>204</v>
      </c>
      <c r="B48" s="1" t="s">
        <v>205</v>
      </c>
      <c r="C48" t="s">
        <v>206</v>
      </c>
      <c r="D48" t="s">
        <v>206</v>
      </c>
      <c r="E48">
        <v>166671760</v>
      </c>
    </row>
    <row r="49" spans="1:5">
      <c r="A49" t="s">
        <v>207</v>
      </c>
      <c r="B49" s="1" t="s">
        <v>208</v>
      </c>
      <c r="C49" t="s">
        <v>209</v>
      </c>
      <c r="D49" t="s">
        <v>209</v>
      </c>
      <c r="E49">
        <v>210334070</v>
      </c>
    </row>
    <row r="50" spans="1:5">
      <c r="A50" t="s">
        <v>210</v>
      </c>
      <c r="B50" s="1" t="s">
        <v>211</v>
      </c>
      <c r="C50" t="s">
        <v>212</v>
      </c>
      <c r="D50" t="s">
        <v>212</v>
      </c>
      <c r="E50">
        <v>231284508</v>
      </c>
    </row>
    <row r="51" spans="1:5">
      <c r="A51" t="s">
        <v>214</v>
      </c>
      <c r="B51" s="1" t="s">
        <v>215</v>
      </c>
      <c r="C51" t="s">
        <v>216</v>
      </c>
      <c r="D51" t="s">
        <v>216</v>
      </c>
      <c r="E51">
        <v>189517900</v>
      </c>
    </row>
    <row r="52" spans="1:5">
      <c r="A52" t="s">
        <v>217</v>
      </c>
      <c r="B52" s="1" t="s">
        <v>218</v>
      </c>
      <c r="C52" t="s">
        <v>219</v>
      </c>
      <c r="D52" t="s">
        <v>219</v>
      </c>
      <c r="E52">
        <v>215246634</v>
      </c>
    </row>
    <row r="53" spans="1:5">
      <c r="A53" t="s">
        <v>220</v>
      </c>
      <c r="B53" s="1" t="s">
        <v>221</v>
      </c>
      <c r="C53" t="s">
        <v>222</v>
      </c>
      <c r="D53" t="s">
        <v>222</v>
      </c>
      <c r="E53">
        <v>88311419</v>
      </c>
    </row>
    <row r="54" spans="1:5">
      <c r="A54" t="s">
        <v>223</v>
      </c>
      <c r="B54" s="1" t="s">
        <v>224</v>
      </c>
      <c r="C54" t="s">
        <v>225</v>
      </c>
      <c r="D54" t="s">
        <v>225</v>
      </c>
      <c r="E54">
        <v>113451900</v>
      </c>
    </row>
    <row r="55" spans="1:5">
      <c r="A55" t="s">
        <v>226</v>
      </c>
      <c r="B55" s="1" t="s">
        <v>227</v>
      </c>
      <c r="C55" t="s">
        <v>228</v>
      </c>
      <c r="D55" t="s">
        <v>228</v>
      </c>
      <c r="E55">
        <v>133680312</v>
      </c>
    </row>
    <row r="56" spans="1:5">
      <c r="A56" t="s">
        <v>230</v>
      </c>
      <c r="B56" s="1" t="s">
        <v>231</v>
      </c>
      <c r="C56" t="s">
        <v>232</v>
      </c>
      <c r="D56" t="s">
        <v>232</v>
      </c>
      <c r="E56">
        <v>121032202</v>
      </c>
    </row>
    <row r="57" spans="1:5">
      <c r="A57" t="s">
        <v>233</v>
      </c>
      <c r="B57" s="1" t="s">
        <v>234</v>
      </c>
      <c r="C57" t="s">
        <v>235</v>
      </c>
      <c r="D57" t="s">
        <v>235</v>
      </c>
      <c r="E57">
        <v>126545599</v>
      </c>
    </row>
    <row r="58" spans="1:5">
      <c r="A58" t="s">
        <v>395</v>
      </c>
      <c r="B58" s="1" t="s">
        <v>396</v>
      </c>
      <c r="C58" t="s">
        <v>397</v>
      </c>
      <c r="D58" t="s">
        <v>397</v>
      </c>
      <c r="E58">
        <v>194223350</v>
      </c>
    </row>
    <row r="59" spans="1:5">
      <c r="A59" t="s">
        <v>400</v>
      </c>
      <c r="B59" s="1" t="s">
        <v>399</v>
      </c>
      <c r="C59" t="s">
        <v>402</v>
      </c>
      <c r="D59" t="s">
        <v>402</v>
      </c>
      <c r="E59">
        <v>77681575</v>
      </c>
    </row>
    <row r="60" spans="1:5">
      <c r="A60" t="s">
        <v>237</v>
      </c>
      <c r="B60" s="1" t="s">
        <v>238</v>
      </c>
      <c r="C60" t="s">
        <v>239</v>
      </c>
      <c r="D60" t="s">
        <v>239</v>
      </c>
      <c r="E60">
        <v>93074400</v>
      </c>
    </row>
    <row r="61" spans="1:5">
      <c r="A61" t="s">
        <v>240</v>
      </c>
      <c r="B61" s="1" t="s">
        <v>241</v>
      </c>
      <c r="C61" t="s">
        <v>242</v>
      </c>
      <c r="D61" t="s">
        <v>242</v>
      </c>
      <c r="E61">
        <v>176979685</v>
      </c>
    </row>
    <row r="62" spans="1:5">
      <c r="A62" t="s">
        <v>243</v>
      </c>
      <c r="B62" s="1" t="s">
        <v>244</v>
      </c>
      <c r="C62" t="s">
        <v>245</v>
      </c>
      <c r="D62" t="s">
        <v>245</v>
      </c>
      <c r="E62">
        <v>160531546</v>
      </c>
    </row>
    <row r="63" spans="1:5">
      <c r="A63" t="s">
        <v>246</v>
      </c>
      <c r="B63" s="1" t="s">
        <v>247</v>
      </c>
      <c r="C63" t="s">
        <v>248</v>
      </c>
      <c r="D63" t="s">
        <v>248</v>
      </c>
      <c r="E63">
        <v>54058800</v>
      </c>
    </row>
    <row r="64" spans="1:5">
      <c r="A64" t="s">
        <v>404</v>
      </c>
      <c r="B64" s="1" t="s">
        <v>405</v>
      </c>
      <c r="C64" t="s">
        <v>406</v>
      </c>
      <c r="D64" t="s">
        <v>406</v>
      </c>
      <c r="E64">
        <v>118230192</v>
      </c>
    </row>
    <row r="65" spans="1:5">
      <c r="A65" t="s">
        <v>250</v>
      </c>
      <c r="B65" s="1" t="s">
        <v>251</v>
      </c>
      <c r="C65" t="s">
        <v>252</v>
      </c>
      <c r="D65" t="s">
        <v>252</v>
      </c>
      <c r="E65">
        <v>105391348</v>
      </c>
    </row>
    <row r="66" spans="1:5">
      <c r="A66" t="s">
        <v>253</v>
      </c>
      <c r="B66" s="1" t="s">
        <v>254</v>
      </c>
      <c r="C66" t="s">
        <v>255</v>
      </c>
      <c r="D66" t="s">
        <v>255</v>
      </c>
      <c r="E66">
        <v>159342768</v>
      </c>
    </row>
    <row r="67" spans="1:5">
      <c r="A67" t="s">
        <v>256</v>
      </c>
      <c r="B67" s="1" t="s">
        <v>257</v>
      </c>
      <c r="C67" t="s">
        <v>258</v>
      </c>
      <c r="D67" t="s">
        <v>258</v>
      </c>
      <c r="E67">
        <v>118368459</v>
      </c>
    </row>
    <row r="68" spans="1:5">
      <c r="A68" t="s">
        <v>259</v>
      </c>
      <c r="B68" s="1" t="s">
        <v>260</v>
      </c>
      <c r="C68" t="s">
        <v>261</v>
      </c>
      <c r="D68" t="s">
        <v>261</v>
      </c>
      <c r="E68">
        <v>244087200</v>
      </c>
    </row>
    <row r="69" spans="1:5">
      <c r="A69" t="s">
        <v>262</v>
      </c>
      <c r="B69" s="1" t="s">
        <v>263</v>
      </c>
      <c r="C69" t="s">
        <v>264</v>
      </c>
      <c r="D69" t="s">
        <v>264</v>
      </c>
      <c r="E69">
        <v>91277777</v>
      </c>
    </row>
    <row r="70" spans="1:5">
      <c r="A70" t="s">
        <v>265</v>
      </c>
      <c r="B70" s="1" t="s">
        <v>266</v>
      </c>
      <c r="C70" t="s">
        <v>267</v>
      </c>
      <c r="D70" t="s">
        <v>267</v>
      </c>
      <c r="E70">
        <v>149802120</v>
      </c>
    </row>
    <row r="71" spans="1:5">
      <c r="A71" t="s">
        <v>269</v>
      </c>
      <c r="B71" s="1" t="s">
        <v>270</v>
      </c>
      <c r="C71" t="s">
        <v>271</v>
      </c>
      <c r="D71" t="s">
        <v>271</v>
      </c>
      <c r="E71">
        <v>78689137</v>
      </c>
    </row>
    <row r="72" spans="1:5">
      <c r="A72" t="s">
        <v>272</v>
      </c>
      <c r="B72" s="1" t="s">
        <v>273</v>
      </c>
      <c r="C72" t="s">
        <v>274</v>
      </c>
      <c r="D72" t="s">
        <v>274</v>
      </c>
      <c r="E72">
        <v>120218130</v>
      </c>
    </row>
    <row r="73" spans="1:5">
      <c r="A73" t="s">
        <v>275</v>
      </c>
      <c r="B73" s="1" t="s">
        <v>276</v>
      </c>
      <c r="C73" t="s">
        <v>277</v>
      </c>
      <c r="D73" t="s">
        <v>277</v>
      </c>
      <c r="E73">
        <v>194900720</v>
      </c>
    </row>
    <row r="74" spans="1:5">
      <c r="A74" t="s">
        <v>278</v>
      </c>
      <c r="B74" s="1" t="s">
        <v>279</v>
      </c>
      <c r="C74" t="s">
        <v>280</v>
      </c>
      <c r="D74" t="s">
        <v>280</v>
      </c>
      <c r="E74">
        <v>250005145</v>
      </c>
    </row>
    <row r="75" spans="1:5">
      <c r="A75" t="s">
        <v>281</v>
      </c>
      <c r="B75" s="1" t="s">
        <v>282</v>
      </c>
      <c r="C75" t="s">
        <v>283</v>
      </c>
      <c r="D75" t="s">
        <v>283</v>
      </c>
      <c r="E75">
        <v>92453214</v>
      </c>
    </row>
    <row r="76" spans="1:5">
      <c r="A76" t="s">
        <v>418</v>
      </c>
      <c r="B76" s="1" t="s">
        <v>419</v>
      </c>
      <c r="C76" t="s">
        <v>420</v>
      </c>
      <c r="D76" t="s">
        <v>420</v>
      </c>
      <c r="E76">
        <v>139657677</v>
      </c>
    </row>
    <row r="77" spans="1:5">
      <c r="A77" t="s">
        <v>422</v>
      </c>
      <c r="B77" s="1" t="s">
        <v>423</v>
      </c>
      <c r="C77" t="s">
        <v>424</v>
      </c>
      <c r="D77" t="s">
        <v>424</v>
      </c>
      <c r="E77">
        <v>142575850</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2023-05-03T16:18:27Z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